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12" windowWidth="14868" windowHeight="883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1" i="1" l="1"/>
  <c r="A41" i="1"/>
  <c r="H23" i="1"/>
  <c r="B38" i="1"/>
  <c r="H36" i="1" s="1"/>
  <c r="B41" i="1"/>
  <c r="E14" i="1"/>
  <c r="D41" i="1"/>
  <c r="H26" i="1" s="1"/>
  <c r="A4" i="1"/>
  <c r="A2" i="1"/>
  <c r="A3" i="1"/>
  <c r="A10" i="1"/>
  <c r="E2" i="1"/>
  <c r="D1" i="1"/>
  <c r="T57" i="1"/>
  <c r="T56" i="1"/>
  <c r="D14" i="1"/>
  <c r="K12" i="1"/>
  <c r="C16" i="1"/>
  <c r="M15" i="1"/>
  <c r="M16" i="1"/>
  <c r="N16" i="1"/>
  <c r="N15" i="1"/>
  <c r="C15" i="1"/>
  <c r="B16" i="1"/>
  <c r="B15" i="1"/>
  <c r="K17" i="1"/>
  <c r="E17" i="1"/>
  <c r="D45" i="1"/>
  <c r="D12" i="1" s="1"/>
  <c r="L9" i="1"/>
  <c r="A42" i="1"/>
  <c r="R42" i="1"/>
  <c r="A43" i="1"/>
  <c r="C3" i="1"/>
  <c r="D9" i="1"/>
  <c r="E10" i="1"/>
  <c r="G1" i="1"/>
  <c r="K2" i="1"/>
  <c r="H24" i="1"/>
  <c r="A48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37" i="1"/>
  <c r="A47" i="1"/>
  <c r="X61" i="1" s="1"/>
  <c r="Z54" i="1"/>
  <c r="B44" i="1"/>
  <c r="AA67" i="1" s="1"/>
  <c r="A50" i="1"/>
  <c r="Q46" i="1" s="1"/>
  <c r="Q47" i="1"/>
  <c r="A49" i="1"/>
  <c r="R47" i="1" s="1"/>
  <c r="B45" i="1"/>
  <c r="B42" i="1"/>
  <c r="D42" i="1"/>
  <c r="B43" i="1"/>
  <c r="B40" i="1"/>
  <c r="D40" i="1"/>
  <c r="S56" i="1" s="1"/>
  <c r="A40" i="1"/>
  <c r="P56" i="1" s="1"/>
  <c r="T46" i="1"/>
  <c r="T47" i="1" s="1"/>
  <c r="Z77" i="1"/>
  <c r="AB77" i="1"/>
  <c r="Z78" i="1"/>
  <c r="AB78" i="1"/>
  <c r="Z61" i="1"/>
  <c r="Z62" i="1"/>
  <c r="Z63" i="1"/>
  <c r="Z64" i="1"/>
  <c r="Z65" i="1"/>
  <c r="AB65" i="1"/>
  <c r="Z66" i="1"/>
  <c r="Z67" i="1"/>
  <c r="Z68" i="1"/>
  <c r="Z69" i="1"/>
  <c r="AB69" i="1"/>
  <c r="Z70" i="1"/>
  <c r="Z71" i="1"/>
  <c r="Z72" i="1"/>
  <c r="Z73" i="1"/>
  <c r="AB73" i="1"/>
  <c r="Z74" i="1"/>
  <c r="Z75" i="1"/>
  <c r="Z76" i="1"/>
  <c r="Z58" i="1"/>
  <c r="Z59" i="1"/>
  <c r="Z60" i="1"/>
  <c r="Z55" i="1"/>
  <c r="Z56" i="1"/>
  <c r="AB56" i="1"/>
  <c r="Z57" i="1"/>
  <c r="P61" i="1"/>
  <c r="P60" i="1"/>
  <c r="R56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34" i="1"/>
  <c r="AB54" i="1"/>
  <c r="AB55" i="1"/>
  <c r="AB53" i="1"/>
  <c r="AB74" i="1"/>
  <c r="AB75" i="1"/>
  <c r="AB76" i="1"/>
  <c r="AB68" i="1"/>
  <c r="AB70" i="1"/>
  <c r="AB71" i="1"/>
  <c r="AB72" i="1"/>
  <c r="AB66" i="1"/>
  <c r="AB67" i="1"/>
  <c r="AB58" i="1"/>
  <c r="AB59" i="1"/>
  <c r="AB60" i="1"/>
  <c r="AB61" i="1"/>
  <c r="AB62" i="1"/>
  <c r="AB63" i="1"/>
  <c r="AB64" i="1"/>
  <c r="AB57" i="1"/>
  <c r="I23" i="1"/>
  <c r="L38" i="1"/>
  <c r="L37" i="1" s="1"/>
  <c r="B12" i="1"/>
  <c r="L3" i="1"/>
  <c r="K3" i="1"/>
  <c r="F43" i="1"/>
  <c r="F9" i="1"/>
  <c r="C8" i="1"/>
  <c r="N4" i="1"/>
  <c r="K8" i="1"/>
  <c r="F41" i="1"/>
  <c r="H25" i="1" s="1"/>
  <c r="L2" i="1"/>
  <c r="M3" i="1"/>
  <c r="F45" i="1"/>
  <c r="B10" i="1"/>
  <c r="E12" i="1"/>
  <c r="D10" i="1"/>
  <c r="F42" i="1"/>
  <c r="V46" i="1" s="1"/>
  <c r="J2" i="1"/>
  <c r="C9" i="1"/>
  <c r="M4" i="1"/>
  <c r="F44" i="1"/>
  <c r="C13" i="1" s="1"/>
  <c r="M2" i="1"/>
  <c r="D11" i="1"/>
  <c r="C11" i="1"/>
  <c r="L8" i="1"/>
  <c r="E8" i="1"/>
  <c r="B4" i="1"/>
  <c r="F40" i="1"/>
  <c r="Q56" i="1" s="1"/>
  <c r="E7" i="1"/>
  <c r="M8" i="1"/>
  <c r="D6" i="1"/>
  <c r="X60" i="1"/>
  <c r="AA58" i="1" l="1"/>
  <c r="AA75" i="1"/>
  <c r="X73" i="1"/>
  <c r="V47" i="1"/>
  <c r="X57" i="1"/>
  <c r="X58" i="1"/>
  <c r="AA76" i="1"/>
  <c r="K4" i="1"/>
  <c r="AA73" i="1"/>
  <c r="AA72" i="1"/>
  <c r="AA70" i="1"/>
  <c r="AA65" i="1"/>
  <c r="X63" i="1"/>
  <c r="L4" i="1"/>
  <c r="V45" i="1"/>
  <c r="AA78" i="1"/>
  <c r="AA74" i="1"/>
  <c r="AA55" i="1"/>
  <c r="AA69" i="1"/>
  <c r="AA59" i="1"/>
  <c r="AA66" i="1"/>
  <c r="AA62" i="1"/>
  <c r="AA60" i="1"/>
  <c r="AA71" i="1"/>
  <c r="AA68" i="1"/>
  <c r="M38" i="1"/>
  <c r="M37" i="1" s="1"/>
  <c r="AA56" i="1"/>
  <c r="V44" i="1"/>
  <c r="AA64" i="1"/>
  <c r="AA63" i="1"/>
  <c r="X59" i="1"/>
  <c r="X55" i="1"/>
  <c r="X65" i="1"/>
  <c r="AA77" i="1"/>
  <c r="AA57" i="1"/>
  <c r="AA54" i="1"/>
  <c r="AA61" i="1"/>
  <c r="X74" i="1"/>
  <c r="X56" i="1"/>
  <c r="D13" i="1"/>
  <c r="X77" i="1"/>
  <c r="X78" i="1"/>
  <c r="X75" i="1"/>
  <c r="R46" i="1"/>
  <c r="O42" i="1"/>
  <c r="N41" i="1"/>
  <c r="M42" i="1"/>
  <c r="W42" i="1"/>
  <c r="N42" i="1"/>
  <c r="N43" i="1" s="1"/>
  <c r="W43" i="1"/>
  <c r="M41" i="1"/>
  <c r="M44" i="1" s="1"/>
  <c r="S42" i="1"/>
  <c r="X68" i="1"/>
  <c r="X67" i="1"/>
  <c r="X64" i="1"/>
  <c r="X62" i="1"/>
  <c r="X54" i="1"/>
  <c r="X66" i="1"/>
  <c r="X70" i="1"/>
  <c r="X76" i="1"/>
  <c r="X69" i="1"/>
  <c r="X72" i="1"/>
  <c r="X71" i="1"/>
  <c r="M83" i="1"/>
  <c r="AH42" i="1"/>
  <c r="AE42" i="1" s="1"/>
  <c r="N74" i="1"/>
  <c r="AA37" i="1"/>
  <c r="AB37" i="1" s="1"/>
  <c r="AH43" i="1"/>
  <c r="AJ43" i="1" s="1"/>
  <c r="AH49" i="1"/>
  <c r="AI49" i="1" s="1"/>
  <c r="N62" i="1"/>
  <c r="N72" i="1"/>
  <c r="AA42" i="1"/>
  <c r="AB42" i="1" s="1"/>
  <c r="N47" i="1"/>
  <c r="M51" i="1"/>
  <c r="M64" i="1"/>
  <c r="M52" i="1"/>
  <c r="M84" i="1"/>
  <c r="AH46" i="1"/>
  <c r="AE46" i="1" s="1"/>
  <c r="N59" i="1"/>
  <c r="N52" i="1"/>
  <c r="M65" i="1"/>
  <c r="N81" i="1"/>
  <c r="N55" i="1"/>
  <c r="N79" i="1"/>
  <c r="AA39" i="1"/>
  <c r="AH37" i="1"/>
  <c r="AE37" i="1" s="1"/>
  <c r="M61" i="1"/>
  <c r="M74" i="1"/>
  <c r="AA41" i="1"/>
  <c r="N50" i="1"/>
  <c r="AA46" i="1"/>
  <c r="AC46" i="1" s="1"/>
  <c r="N83" i="1"/>
  <c r="AJ49" i="1"/>
  <c r="M78" i="1"/>
  <c r="M63" i="1"/>
  <c r="M72" i="1"/>
  <c r="M50" i="1"/>
  <c r="M59" i="1"/>
  <c r="M81" i="1"/>
  <c r="M82" i="1"/>
  <c r="M77" i="1"/>
  <c r="M71" i="1"/>
  <c r="M80" i="1"/>
  <c r="N64" i="1"/>
  <c r="N73" i="1"/>
  <c r="AA34" i="1"/>
  <c r="AA36" i="1"/>
  <c r="AH41" i="1"/>
  <c r="N66" i="1"/>
  <c r="AH38" i="1"/>
  <c r="AH39" i="1"/>
  <c r="AA49" i="1"/>
  <c r="N54" i="1"/>
  <c r="AA38" i="1"/>
  <c r="N49" i="1"/>
  <c r="N84" i="1"/>
  <c r="AA50" i="1"/>
  <c r="N56" i="1"/>
  <c r="N70" i="1"/>
  <c r="AH45" i="1"/>
  <c r="AA43" i="1"/>
  <c r="AA47" i="1"/>
  <c r="M79" i="1"/>
  <c r="M70" i="1"/>
  <c r="M68" i="1"/>
  <c r="M53" i="1"/>
  <c r="M76" i="1"/>
  <c r="M57" i="1"/>
  <c r="M75" i="1"/>
  <c r="M60" i="1"/>
  <c r="AH40" i="1"/>
  <c r="AA35" i="1"/>
  <c r="N78" i="1"/>
  <c r="N71" i="1"/>
  <c r="AH50" i="1"/>
  <c r="AH44" i="1"/>
  <c r="AA45" i="1"/>
  <c r="N67" i="1"/>
  <c r="N58" i="1"/>
  <c r="AA40" i="1"/>
  <c r="N53" i="1"/>
  <c r="N76" i="1"/>
  <c r="AH47" i="1"/>
  <c r="AA44" i="1"/>
  <c r="N48" i="1"/>
  <c r="N82" i="1"/>
  <c r="N75" i="1"/>
  <c r="AA48" i="1"/>
  <c r="N60" i="1"/>
  <c r="N57" i="1"/>
  <c r="M54" i="1"/>
  <c r="M56" i="1"/>
  <c r="M48" i="1"/>
  <c r="M67" i="1"/>
  <c r="M69" i="1"/>
  <c r="M73" i="1"/>
  <c r="M49" i="1"/>
  <c r="N61" i="1"/>
  <c r="N68" i="1"/>
  <c r="N80" i="1"/>
  <c r="N77" i="1"/>
  <c r="N69" i="1"/>
  <c r="N65" i="1"/>
  <c r="N51" i="1"/>
  <c r="N63" i="1"/>
  <c r="AH48" i="1"/>
  <c r="M58" i="1"/>
  <c r="M55" i="1"/>
  <c r="M66" i="1"/>
  <c r="M62" i="1"/>
  <c r="M47" i="1"/>
  <c r="X37" i="1" l="1"/>
  <c r="AI42" i="1"/>
  <c r="N44" i="1"/>
  <c r="V37" i="1" s="1"/>
  <c r="M43" i="1"/>
  <c r="Q40" i="1" s="1"/>
  <c r="Q61" i="1"/>
  <c r="Q60" i="1"/>
  <c r="G21" i="1"/>
  <c r="I25" i="1" s="1"/>
  <c r="R60" i="1"/>
  <c r="R61" i="1"/>
  <c r="S61" i="1"/>
  <c r="S60" i="1"/>
  <c r="AC37" i="1"/>
  <c r="AI46" i="1"/>
  <c r="AE49" i="1"/>
  <c r="AE43" i="1"/>
  <c r="AI43" i="1"/>
  <c r="AC42" i="1"/>
  <c r="X46" i="1"/>
  <c r="AJ42" i="1"/>
  <c r="AB46" i="1"/>
  <c r="X42" i="1"/>
  <c r="AC41" i="1"/>
  <c r="AB41" i="1"/>
  <c r="X41" i="1"/>
  <c r="AC39" i="1"/>
  <c r="AB39" i="1"/>
  <c r="X39" i="1"/>
  <c r="AJ46" i="1"/>
  <c r="AJ37" i="1"/>
  <c r="AI37" i="1"/>
  <c r="L43" i="1"/>
  <c r="L77" i="1"/>
  <c r="L56" i="1"/>
  <c r="L61" i="1"/>
  <c r="L58" i="1"/>
  <c r="L55" i="1"/>
  <c r="L64" i="1"/>
  <c r="L71" i="1"/>
  <c r="L44" i="1"/>
  <c r="L79" i="1"/>
  <c r="L70" i="1"/>
  <c r="L54" i="1"/>
  <c r="L73" i="1"/>
  <c r="L52" i="1"/>
  <c r="L60" i="1"/>
  <c r="L49" i="1"/>
  <c r="L84" i="1"/>
  <c r="L48" i="1"/>
  <c r="L59" i="1"/>
  <c r="L63" i="1"/>
  <c r="L67" i="1"/>
  <c r="L62" i="1"/>
  <c r="L65" i="1"/>
  <c r="L82" i="1"/>
  <c r="L51" i="1"/>
  <c r="L57" i="1"/>
  <c r="L83" i="1"/>
  <c r="L72" i="1"/>
  <c r="L78" i="1"/>
  <c r="L76" i="1"/>
  <c r="L47" i="1"/>
  <c r="L50" i="1"/>
  <c r="L68" i="1"/>
  <c r="L80" i="1"/>
  <c r="L66" i="1"/>
  <c r="L74" i="1"/>
  <c r="L69" i="1"/>
  <c r="L75" i="1"/>
  <c r="L53" i="1"/>
  <c r="L81" i="1"/>
  <c r="AB44" i="1"/>
  <c r="X44" i="1"/>
  <c r="AC44" i="1"/>
  <c r="X40" i="1"/>
  <c r="AC40" i="1"/>
  <c r="AB40" i="1"/>
  <c r="AB45" i="1"/>
  <c r="X45" i="1"/>
  <c r="AC45" i="1"/>
  <c r="AC35" i="1"/>
  <c r="X35" i="1"/>
  <c r="AB35" i="1"/>
  <c r="AJ45" i="1"/>
  <c r="AI45" i="1"/>
  <c r="AE45" i="1"/>
  <c r="AB50" i="1"/>
  <c r="AC50" i="1"/>
  <c r="X50" i="1"/>
  <c r="AC38" i="1"/>
  <c r="X38" i="1"/>
  <c r="AB38" i="1"/>
  <c r="AJ47" i="1"/>
  <c r="AI47" i="1"/>
  <c r="AE47" i="1"/>
  <c r="AE50" i="1"/>
  <c r="AJ50" i="1"/>
  <c r="AI50" i="1"/>
  <c r="AJ40" i="1"/>
  <c r="AI40" i="1"/>
  <c r="AE40" i="1"/>
  <c r="AB43" i="1"/>
  <c r="AC43" i="1"/>
  <c r="X43" i="1"/>
  <c r="AE41" i="1"/>
  <c r="AI41" i="1"/>
  <c r="AJ41" i="1"/>
  <c r="U36" i="1"/>
  <c r="U35" i="1"/>
  <c r="G25" i="1"/>
  <c r="U37" i="1"/>
  <c r="U38" i="1"/>
  <c r="AE48" i="1"/>
  <c r="AI48" i="1"/>
  <c r="AJ48" i="1"/>
  <c r="AC48" i="1"/>
  <c r="X48" i="1"/>
  <c r="AB48" i="1"/>
  <c r="AB49" i="1"/>
  <c r="AC49" i="1"/>
  <c r="X49" i="1"/>
  <c r="AI39" i="1"/>
  <c r="AE39" i="1"/>
  <c r="AJ39" i="1"/>
  <c r="AC36" i="1"/>
  <c r="AB36" i="1"/>
  <c r="X36" i="1"/>
  <c r="R37" i="1"/>
  <c r="R57" i="1"/>
  <c r="R58" i="1" s="1"/>
  <c r="C23" i="1"/>
  <c r="C24" i="1"/>
  <c r="K24" i="1" s="1"/>
  <c r="R51" i="1"/>
  <c r="R53" i="1" s="1"/>
  <c r="R38" i="1"/>
  <c r="R39" i="1"/>
  <c r="R40" i="1"/>
  <c r="AE44" i="1"/>
  <c r="AJ44" i="1"/>
  <c r="AI44" i="1"/>
  <c r="AC47" i="1"/>
  <c r="X47" i="1"/>
  <c r="AB47" i="1"/>
  <c r="AI38" i="1"/>
  <c r="AJ38" i="1"/>
  <c r="AE38" i="1"/>
  <c r="AC34" i="1"/>
  <c r="AB34" i="1"/>
  <c r="X34" i="1"/>
  <c r="V38" i="1" l="1"/>
  <c r="Q38" i="1"/>
  <c r="C25" i="1"/>
  <c r="O17" i="1" s="1"/>
  <c r="T51" i="1"/>
  <c r="T53" i="1" s="1"/>
  <c r="N45" i="1"/>
  <c r="N103" i="1" s="1"/>
  <c r="V36" i="1"/>
  <c r="Q39" i="1"/>
  <c r="Q57" i="1"/>
  <c r="Q58" i="1" s="1"/>
  <c r="V35" i="1"/>
  <c r="G23" i="1"/>
  <c r="M45" i="1"/>
  <c r="M138" i="1" s="1"/>
  <c r="Q37" i="1"/>
  <c r="G24" i="1"/>
  <c r="K25" i="1" s="1"/>
  <c r="P21" i="1"/>
  <c r="O18" i="1" s="1"/>
  <c r="I24" i="1"/>
  <c r="I26" i="1"/>
  <c r="M90" i="1"/>
  <c r="M91" i="1"/>
  <c r="M85" i="1"/>
  <c r="M86" i="1"/>
  <c r="M88" i="1"/>
  <c r="M94" i="1"/>
  <c r="M92" i="1"/>
  <c r="M89" i="1"/>
  <c r="M93" i="1"/>
  <c r="M87" i="1"/>
  <c r="N92" i="1"/>
  <c r="N93" i="1"/>
  <c r="N89" i="1"/>
  <c r="N91" i="1"/>
  <c r="N88" i="1"/>
  <c r="N85" i="1"/>
  <c r="N90" i="1"/>
  <c r="N86" i="1"/>
  <c r="N87" i="1"/>
  <c r="N94" i="1"/>
  <c r="N104" i="1"/>
  <c r="N101" i="1"/>
  <c r="M96" i="1"/>
  <c r="M104" i="1"/>
  <c r="M95" i="1"/>
  <c r="M103" i="1"/>
  <c r="M99" i="1"/>
  <c r="M102" i="1"/>
  <c r="M101" i="1"/>
  <c r="M100" i="1"/>
  <c r="M109" i="1"/>
  <c r="M111" i="1"/>
  <c r="M107" i="1"/>
  <c r="M106" i="1"/>
  <c r="M113" i="1"/>
  <c r="M114" i="1"/>
  <c r="M108" i="1"/>
  <c r="N106" i="1"/>
  <c r="N115" i="1"/>
  <c r="M121" i="1"/>
  <c r="M115" i="1"/>
  <c r="M124" i="1"/>
  <c r="M123" i="1"/>
  <c r="M117" i="1"/>
  <c r="M118" i="1"/>
  <c r="M122" i="1"/>
  <c r="M131" i="1"/>
  <c r="M128" i="1"/>
  <c r="M134" i="1"/>
  <c r="M133" i="1"/>
  <c r="M125" i="1"/>
  <c r="M127" i="1"/>
  <c r="M132" i="1"/>
  <c r="M126" i="1"/>
  <c r="N126" i="1"/>
  <c r="M142" i="1"/>
  <c r="M139" i="1"/>
  <c r="M135" i="1"/>
  <c r="N135" i="1"/>
  <c r="M151" i="1"/>
  <c r="M204" i="1"/>
  <c r="M195" i="1"/>
  <c r="M159" i="1"/>
  <c r="M171" i="1"/>
  <c r="M164" i="1"/>
  <c r="M211" i="1"/>
  <c r="M160" i="1"/>
  <c r="M216" i="1"/>
  <c r="M158" i="1"/>
  <c r="M170" i="1"/>
  <c r="M145" i="1"/>
  <c r="M150" i="1"/>
  <c r="M221" i="1"/>
  <c r="M224" i="1"/>
  <c r="M218" i="1"/>
  <c r="N201" i="1"/>
  <c r="N147" i="1"/>
  <c r="N213" i="1"/>
  <c r="N199" i="1"/>
  <c r="N156" i="1"/>
  <c r="N226" i="1"/>
  <c r="N175" i="1"/>
  <c r="N222" i="1"/>
  <c r="N172" i="1"/>
  <c r="N177" i="1"/>
  <c r="T37" i="1"/>
  <c r="B25" i="1"/>
  <c r="T35" i="1"/>
  <c r="T38" i="1"/>
  <c r="T36" i="1"/>
  <c r="P37" i="1"/>
  <c r="P39" i="1"/>
  <c r="B24" i="1"/>
  <c r="K23" i="1" s="1"/>
  <c r="M24" i="1" s="1"/>
  <c r="P40" i="1"/>
  <c r="B23" i="1"/>
  <c r="L45" i="1"/>
  <c r="P57" i="1"/>
  <c r="P58" i="1" s="1"/>
  <c r="P38" i="1"/>
  <c r="P50" i="1"/>
  <c r="P52" i="1" s="1"/>
  <c r="N150" i="1" l="1"/>
  <c r="N211" i="1"/>
  <c r="N155" i="1"/>
  <c r="N174" i="1"/>
  <c r="N224" i="1"/>
  <c r="N182" i="1"/>
  <c r="N209" i="1"/>
  <c r="N215" i="1"/>
  <c r="N166" i="1"/>
  <c r="N191" i="1"/>
  <c r="N142" i="1"/>
  <c r="N128" i="1"/>
  <c r="N121" i="1"/>
  <c r="N122" i="1"/>
  <c r="N113" i="1"/>
  <c r="N100" i="1"/>
  <c r="N153" i="1"/>
  <c r="N187" i="1"/>
  <c r="N168" i="1"/>
  <c r="N183" i="1"/>
  <c r="N192" i="1"/>
  <c r="N178" i="1"/>
  <c r="N225" i="1"/>
  <c r="N221" i="1"/>
  <c r="N189" i="1"/>
  <c r="N151" i="1"/>
  <c r="N141" i="1"/>
  <c r="N127" i="1"/>
  <c r="N124" i="1"/>
  <c r="N119" i="1"/>
  <c r="N110" i="1"/>
  <c r="N95" i="1"/>
  <c r="N223" i="1"/>
  <c r="N180" i="1"/>
  <c r="N176" i="1"/>
  <c r="N216" i="1"/>
  <c r="N173" i="1"/>
  <c r="N188" i="1"/>
  <c r="N162" i="1"/>
  <c r="N194" i="1"/>
  <c r="N196" i="1"/>
  <c r="N212" i="1"/>
  <c r="M220" i="1"/>
  <c r="M176" i="1"/>
  <c r="M185" i="1"/>
  <c r="M192" i="1"/>
  <c r="M153" i="1"/>
  <c r="N138" i="1"/>
  <c r="M143" i="1"/>
  <c r="N132" i="1"/>
  <c r="M129" i="1"/>
  <c r="M130" i="1"/>
  <c r="M116" i="1"/>
  <c r="M119" i="1"/>
  <c r="M120" i="1"/>
  <c r="N117" i="1"/>
  <c r="N108" i="1"/>
  <c r="M110" i="1"/>
  <c r="M105" i="1"/>
  <c r="M112" i="1"/>
  <c r="M97" i="1"/>
  <c r="M98" i="1"/>
  <c r="N97" i="1"/>
  <c r="N96" i="1"/>
  <c r="M187" i="1"/>
  <c r="M157" i="1"/>
  <c r="M156" i="1"/>
  <c r="M168" i="1"/>
  <c r="M184" i="1"/>
  <c r="M190" i="1"/>
  <c r="M165" i="1"/>
  <c r="M207" i="1"/>
  <c r="M174" i="1"/>
  <c r="M162" i="1"/>
  <c r="M172" i="1"/>
  <c r="M217" i="1"/>
  <c r="M199" i="1"/>
  <c r="M215" i="1"/>
  <c r="M209" i="1"/>
  <c r="M208" i="1"/>
  <c r="M198" i="1"/>
  <c r="M169" i="1"/>
  <c r="M155" i="1"/>
  <c r="M201" i="1"/>
  <c r="M177" i="1"/>
  <c r="M214" i="1"/>
  <c r="M194" i="1"/>
  <c r="M206" i="1"/>
  <c r="M182" i="1"/>
  <c r="M202" i="1"/>
  <c r="M147" i="1"/>
  <c r="M149" i="1"/>
  <c r="M189" i="1"/>
  <c r="M226" i="1"/>
  <c r="M188" i="1"/>
  <c r="M223" i="1"/>
  <c r="M205" i="1"/>
  <c r="M152" i="1"/>
  <c r="M200" i="1"/>
  <c r="M222" i="1"/>
  <c r="M146" i="1"/>
  <c r="M148" i="1"/>
  <c r="M175" i="1"/>
  <c r="M167" i="1"/>
  <c r="M212" i="1"/>
  <c r="M136" i="1"/>
  <c r="M141" i="1"/>
  <c r="M144" i="1"/>
  <c r="M180" i="1"/>
  <c r="M191" i="1"/>
  <c r="M178" i="1"/>
  <c r="M183" i="1"/>
  <c r="M166" i="1"/>
  <c r="M213" i="1"/>
  <c r="M181" i="1"/>
  <c r="M210" i="1"/>
  <c r="M193" i="1"/>
  <c r="M203" i="1"/>
  <c r="M179" i="1"/>
  <c r="M197" i="1"/>
  <c r="M173" i="1"/>
  <c r="M163" i="1"/>
  <c r="M154" i="1"/>
  <c r="M161" i="1"/>
  <c r="M225" i="1"/>
  <c r="M186" i="1"/>
  <c r="M219" i="1"/>
  <c r="M196" i="1"/>
  <c r="M137" i="1"/>
  <c r="M140" i="1"/>
  <c r="N154" i="1"/>
  <c r="N203" i="1"/>
  <c r="N220" i="1"/>
  <c r="N145" i="1"/>
  <c r="N165" i="1"/>
  <c r="N190" i="1"/>
  <c r="N207" i="1"/>
  <c r="N204" i="1"/>
  <c r="N181" i="1"/>
  <c r="N159" i="1"/>
  <c r="N161" i="1"/>
  <c r="N160" i="1"/>
  <c r="N195" i="1"/>
  <c r="N146" i="1"/>
  <c r="N208" i="1"/>
  <c r="N200" i="1"/>
  <c r="N198" i="1"/>
  <c r="N167" i="1"/>
  <c r="N163" i="1"/>
  <c r="N197" i="1"/>
  <c r="N186" i="1"/>
  <c r="N137" i="1"/>
  <c r="N136" i="1"/>
  <c r="N139" i="1"/>
  <c r="N133" i="1"/>
  <c r="N125" i="1"/>
  <c r="N134" i="1"/>
  <c r="N123" i="1"/>
  <c r="N118" i="1"/>
  <c r="N111" i="1"/>
  <c r="N105" i="1"/>
  <c r="N112" i="1"/>
  <c r="N99" i="1"/>
  <c r="N98" i="1"/>
  <c r="N157" i="1"/>
  <c r="N193" i="1"/>
  <c r="N148" i="1"/>
  <c r="N217" i="1"/>
  <c r="N210" i="1"/>
  <c r="N149" i="1"/>
  <c r="N152" i="1"/>
  <c r="N202" i="1"/>
  <c r="N171" i="1"/>
  <c r="N184" i="1"/>
  <c r="N169" i="1"/>
  <c r="N214" i="1"/>
  <c r="N205" i="1"/>
  <c r="N218" i="1"/>
  <c r="N170" i="1"/>
  <c r="N164" i="1"/>
  <c r="N179" i="1"/>
  <c r="N158" i="1"/>
  <c r="N219" i="1"/>
  <c r="N206" i="1"/>
  <c r="N185" i="1"/>
  <c r="N143" i="1"/>
  <c r="N144" i="1"/>
  <c r="N140" i="1"/>
  <c r="N130" i="1"/>
  <c r="N129" i="1"/>
  <c r="N131" i="1"/>
  <c r="N116" i="1"/>
  <c r="N120" i="1"/>
  <c r="N109" i="1"/>
  <c r="N107" i="1"/>
  <c r="N114" i="1"/>
  <c r="N102" i="1"/>
  <c r="L91" i="1"/>
  <c r="L92" i="1"/>
  <c r="L87" i="1"/>
  <c r="L89" i="1"/>
  <c r="L90" i="1"/>
  <c r="L85" i="1"/>
  <c r="L86" i="1"/>
  <c r="L88" i="1"/>
  <c r="L93" i="1"/>
  <c r="L94" i="1"/>
  <c r="L104" i="1"/>
  <c r="L98" i="1"/>
  <c r="L100" i="1"/>
  <c r="L96" i="1"/>
  <c r="L99" i="1"/>
  <c r="L101" i="1"/>
  <c r="L95" i="1"/>
  <c r="L103" i="1"/>
  <c r="L97" i="1"/>
  <c r="L102" i="1"/>
  <c r="L107" i="1"/>
  <c r="L114" i="1"/>
  <c r="L111" i="1"/>
  <c r="L106" i="1"/>
  <c r="L108" i="1"/>
  <c r="L105" i="1"/>
  <c r="L110" i="1"/>
  <c r="L112" i="1"/>
  <c r="L113" i="1"/>
  <c r="L109" i="1"/>
  <c r="L122" i="1"/>
  <c r="L123" i="1"/>
  <c r="L115" i="1"/>
  <c r="L124" i="1"/>
  <c r="L116" i="1"/>
  <c r="L120" i="1"/>
  <c r="L118" i="1"/>
  <c r="L119" i="1"/>
  <c r="L121" i="1"/>
  <c r="L117" i="1"/>
  <c r="L25" i="1"/>
  <c r="L128" i="1"/>
  <c r="L127" i="1"/>
  <c r="L126" i="1"/>
  <c r="L133" i="1"/>
  <c r="L132" i="1"/>
  <c r="L125" i="1"/>
  <c r="L130" i="1"/>
  <c r="L129" i="1"/>
  <c r="L131" i="1"/>
  <c r="L134" i="1"/>
  <c r="M25" i="1"/>
  <c r="L142" i="1"/>
  <c r="L139" i="1"/>
  <c r="L141" i="1"/>
  <c r="L144" i="1"/>
  <c r="L135" i="1"/>
  <c r="L137" i="1"/>
  <c r="L140" i="1"/>
  <c r="L138" i="1"/>
  <c r="L136" i="1"/>
  <c r="L143" i="1"/>
  <c r="L24" i="1"/>
  <c r="L146" i="1"/>
  <c r="L167" i="1"/>
  <c r="L205" i="1"/>
  <c r="L198" i="1"/>
  <c r="L183" i="1"/>
  <c r="L150" i="1"/>
  <c r="L172" i="1"/>
  <c r="L190" i="1"/>
  <c r="L149" i="1"/>
  <c r="L153" i="1"/>
  <c r="L178" i="1"/>
  <c r="L187" i="1"/>
  <c r="L194" i="1"/>
  <c r="L186" i="1"/>
  <c r="L170" i="1"/>
  <c r="L215" i="1"/>
  <c r="L173" i="1"/>
  <c r="L200" i="1"/>
  <c r="L148" i="1"/>
  <c r="L193" i="1"/>
  <c r="L155" i="1"/>
  <c r="L169" i="1"/>
  <c r="L156" i="1"/>
  <c r="L216" i="1"/>
  <c r="L213" i="1"/>
  <c r="L196" i="1"/>
  <c r="L222" i="1"/>
  <c r="L204" i="1"/>
  <c r="L184" i="1"/>
  <c r="L199" i="1"/>
  <c r="L154" i="1"/>
  <c r="L166" i="1"/>
  <c r="O43" i="1"/>
  <c r="L157" i="1"/>
  <c r="L152" i="1"/>
  <c r="L209" i="1"/>
  <c r="L188" i="1"/>
  <c r="L158" i="1"/>
  <c r="L179" i="1"/>
  <c r="L219" i="1"/>
  <c r="L218" i="1"/>
  <c r="L192" i="1"/>
  <c r="L147" i="1"/>
  <c r="L214" i="1"/>
  <c r="L220" i="1"/>
  <c r="L212" i="1"/>
  <c r="L151" i="1"/>
  <c r="L182" i="1"/>
  <c r="L221" i="1"/>
  <c r="L181" i="1"/>
  <c r="L225" i="1"/>
  <c r="L180" i="1"/>
  <c r="L168" i="1"/>
  <c r="L189" i="1"/>
  <c r="L164" i="1"/>
  <c r="L201" i="1"/>
  <c r="L185" i="1"/>
  <c r="L226" i="1"/>
  <c r="L207" i="1"/>
  <c r="L145" i="1"/>
  <c r="L211" i="1"/>
  <c r="L171" i="1"/>
  <c r="L195" i="1"/>
  <c r="L202" i="1"/>
  <c r="L176" i="1"/>
  <c r="L165" i="1"/>
  <c r="L191" i="1"/>
  <c r="L210" i="1"/>
  <c r="L160" i="1"/>
  <c r="L174" i="1"/>
  <c r="L161" i="1"/>
  <c r="L206" i="1"/>
  <c r="L159" i="1"/>
  <c r="L197" i="1"/>
  <c r="L203" i="1"/>
  <c r="L175" i="1"/>
  <c r="L224" i="1"/>
  <c r="L223" i="1"/>
  <c r="L177" i="1"/>
  <c r="L208" i="1"/>
  <c r="L217" i="1"/>
  <c r="L162" i="1"/>
  <c r="L163" i="1"/>
  <c r="S38" i="1" l="1"/>
  <c r="S37" i="1"/>
  <c r="P51" i="1"/>
  <c r="P53" i="1" s="1"/>
  <c r="S39" i="1"/>
  <c r="S57" i="1"/>
  <c r="S58" i="1" s="1"/>
  <c r="E24" i="1"/>
  <c r="K26" i="1" s="1"/>
  <c r="R50" i="1"/>
  <c r="R52" i="1" s="1"/>
  <c r="T50" i="1"/>
  <c r="T52" i="1" s="1"/>
  <c r="E23" i="1"/>
  <c r="S40" i="1"/>
  <c r="O44" i="1"/>
  <c r="W35" i="1" l="1"/>
  <c r="W38" i="1"/>
  <c r="W37" i="1"/>
  <c r="W36" i="1"/>
  <c r="E25" i="1"/>
  <c r="L26" i="1"/>
  <c r="M26" i="1"/>
  <c r="O41" i="1"/>
  <c r="U42" i="1" l="1"/>
  <c r="T43" i="1"/>
</calcChain>
</file>

<file path=xl/sharedStrings.xml><?xml version="1.0" encoding="utf-8"?>
<sst xmlns="http://schemas.openxmlformats.org/spreadsheetml/2006/main" count="137" uniqueCount="115">
  <si>
    <t>B0</t>
  </si>
  <si>
    <t>X</t>
  </si>
  <si>
    <t>BX</t>
  </si>
  <si>
    <t xml:space="preserve">In this event, a=b/10+88 </t>
  </si>
  <si>
    <t>b=</t>
  </si>
  <si>
    <t>a=</t>
  </si>
  <si>
    <t>U0</t>
  </si>
  <si>
    <t xml:space="preserve">U level </t>
  </si>
  <si>
    <t>UX</t>
  </si>
  <si>
    <t>UmaxY</t>
  </si>
  <si>
    <t>Income(axis)</t>
  </si>
  <si>
    <t>Price</t>
  </si>
  <si>
    <t>sub point</t>
  </si>
  <si>
    <t>UotX</t>
  </si>
  <si>
    <t>BotX</t>
  </si>
  <si>
    <t>Bsub</t>
  </si>
  <si>
    <t>Yvalues</t>
  </si>
  <si>
    <t>verticals</t>
  </si>
  <si>
    <t>Maxhrs/Wk</t>
  </si>
  <si>
    <t>40hrs</t>
  </si>
  <si>
    <t>Initial</t>
  </si>
  <si>
    <t>Sub</t>
  </si>
  <si>
    <t>BudgetGraph</t>
  </si>
  <si>
    <t>Ugraph</t>
  </si>
  <si>
    <t>U((N,Y)=(N-a)(Y-b)</t>
  </si>
  <si>
    <t>otX%higher</t>
  </si>
  <si>
    <t>X%higher</t>
  </si>
  <si>
    <t>N</t>
  </si>
  <si>
    <t>Nsub</t>
  </si>
  <si>
    <t>N,Y0</t>
  </si>
  <si>
    <t>N,YotX</t>
  </si>
  <si>
    <t>N,YX</t>
  </si>
  <si>
    <t>N,YSub</t>
  </si>
  <si>
    <t>Sub Slider</t>
  </si>
  <si>
    <t>Nvalues</t>
  </si>
  <si>
    <t>Base info</t>
  </si>
  <si>
    <t>complementary</t>
  </si>
  <si>
    <t>128Vertical</t>
  </si>
  <si>
    <t>168Vertical</t>
  </si>
  <si>
    <t>N,Ind.curves</t>
  </si>
  <si>
    <t>controlled by b to maintain tangency at (128,400)</t>
  </si>
  <si>
    <t>Y</t>
  </si>
  <si>
    <t>price increase slider</t>
  </si>
  <si>
    <t>start b</t>
  </si>
  <si>
    <t>U0start a</t>
  </si>
  <si>
    <t>start values</t>
  </si>
  <si>
    <t>P</t>
  </si>
  <si>
    <t>Nswitched</t>
  </si>
  <si>
    <t>Income</t>
  </si>
  <si>
    <t>PCCreg</t>
  </si>
  <si>
    <t>PCCotonly</t>
  </si>
  <si>
    <t>x</t>
  </si>
  <si>
    <t>xswitched</t>
  </si>
  <si>
    <t>PCC</t>
  </si>
  <si>
    <t>backward bending version (disable sub slider)</t>
  </si>
  <si>
    <t>FT</t>
  </si>
  <si>
    <t>initial values for backward bending</t>
  </si>
  <si>
    <t>sub effect</t>
  </si>
  <si>
    <t>Umax S</t>
  </si>
  <si>
    <t>inc effect</t>
  </si>
  <si>
    <t>inc effectOT</t>
  </si>
  <si>
    <t>L</t>
  </si>
  <si>
    <t>Labor supply</t>
  </si>
  <si>
    <t>L,w0</t>
  </si>
  <si>
    <t>L,w1</t>
  </si>
  <si>
    <t>L,wOT</t>
  </si>
  <si>
    <t>L,wSub</t>
  </si>
  <si>
    <t>w</t>
  </si>
  <si>
    <t>Labor, L</t>
  </si>
  <si>
    <r>
      <t>w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</rPr>
      <t>=$10/hr</t>
    </r>
  </si>
  <si>
    <t>w, Wage rate</t>
  </si>
  <si>
    <t>S,Ygraph</t>
  </si>
  <si>
    <t>S,Ytable</t>
  </si>
  <si>
    <t>Final</t>
  </si>
  <si>
    <t>OT only</t>
  </si>
  <si>
    <t>Budget Line</t>
  </si>
  <si>
    <t>Ind. Curve</t>
  </si>
  <si>
    <t>Substitution</t>
  </si>
  <si>
    <t>Effects</t>
  </si>
  <si>
    <t>Show labor supply curve</t>
  </si>
  <si>
    <t>Show backward bending preferences</t>
  </si>
  <si>
    <t>Show full-time employment</t>
  </si>
  <si>
    <t xml:space="preserve"> income effect</t>
  </si>
  <si>
    <t>inc effect OT</t>
  </si>
  <si>
    <t>Show full-time leisure</t>
  </si>
  <si>
    <t>Income OT</t>
  </si>
  <si>
    <t>Labor supply OT</t>
  </si>
  <si>
    <t>Show labor supply curve OT only</t>
  </si>
  <si>
    <t>wage slider</t>
  </si>
  <si>
    <t>Final wage</t>
  </si>
  <si>
    <r>
      <t>U-max. Labor/Leisure choice given w</t>
    </r>
    <r>
      <rPr>
        <vertAlign val="subscript"/>
        <sz val="12"/>
        <rFont val="Times New Roman"/>
        <family val="1"/>
      </rPr>
      <t>final</t>
    </r>
    <r>
      <rPr>
        <sz val="12"/>
        <rFont val="Times New Roman"/>
      </rPr>
      <t xml:space="preserve"> =</t>
    </r>
  </si>
  <si>
    <t>Points on the individual's labor supply curve</t>
  </si>
  <si>
    <t xml:space="preserve"> L, labor hours/week</t>
  </si>
  <si>
    <t xml:space="preserve">w, wage rate   </t>
  </si>
  <si>
    <t>Sub point</t>
  </si>
  <si>
    <t>OT only@w</t>
  </si>
  <si>
    <t>Leisure, s</t>
  </si>
  <si>
    <t>Goods, y</t>
  </si>
  <si>
    <t>y, Goods per week</t>
  </si>
  <si>
    <r>
      <t>P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</rPr>
      <t xml:space="preserve"> = 1 so each dollar earned purchases a unit of y. </t>
    </r>
  </si>
  <si>
    <t>w, wage rate slider</t>
  </si>
  <si>
    <r>
      <t xml:space="preserve">substitutable            </t>
    </r>
    <r>
      <rPr>
        <b/>
        <sz val="12"/>
        <rFont val="Times New Roman"/>
        <family val="1"/>
      </rPr>
      <t>s,y</t>
    </r>
  </si>
  <si>
    <t>s,y graph</t>
  </si>
  <si>
    <t>s,y table</t>
  </si>
  <si>
    <t>s, leisure hours (Spare time &amp; Sleep) per week</t>
  </si>
  <si>
    <t>L, Labor hours, L = 168-s</t>
  </si>
  <si>
    <t xml:space="preserve">  C   </t>
  </si>
  <si>
    <t>(disables substutability slider &amp; OT click boxes)</t>
  </si>
  <si>
    <t>40hours</t>
  </si>
  <si>
    <t>The individual's labor supply function</t>
  </si>
  <si>
    <r>
      <t>D</t>
    </r>
    <r>
      <rPr>
        <sz val="12"/>
        <rFont val="Times New Roman"/>
      </rPr>
      <t xml:space="preserve"> days:hrs:min.</t>
    </r>
  </si>
  <si>
    <t>Calculating area</t>
  </si>
  <si>
    <t>NOTE: This slider is disabled if cell O14 is clicked on.</t>
  </si>
  <si>
    <t>eq. 18.3c</t>
  </si>
  <si>
    <t>cost of getting to T from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</si>
</sst>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.00"/>
    <numFmt numFmtId="167" formatCode="&quot;$&quot;#,##0"/>
  </numFmts>
  <fonts count="16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7"/>
      <name val="Times New Roman"/>
      <family val="1"/>
    </font>
    <font>
      <sz val="12"/>
      <name val="Symbol"/>
      <family val="1"/>
      <charset val="2"/>
    </font>
    <font>
      <sz val="9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166" fontId="0" fillId="0" borderId="1" xfId="0" applyNumberFormat="1" applyFill="1" applyBorder="1" applyAlignment="1" applyProtection="1">
      <alignment horizontal="left" shrinkToFit="1"/>
      <protection hidden="1"/>
    </xf>
    <xf numFmtId="166" fontId="0" fillId="0" borderId="2" xfId="0" applyNumberFormat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Alignment="1" applyProtection="1">
      <alignment horizontal="center" shrinkToFit="1"/>
      <protection hidden="1"/>
    </xf>
    <xf numFmtId="0" fontId="0" fillId="0" borderId="6" xfId="0" applyBorder="1" applyAlignment="1" applyProtection="1">
      <alignment horizontal="center" shrinkToFit="1"/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165" fontId="0" fillId="0" borderId="5" xfId="1" applyNumberFormat="1" applyFont="1" applyBorder="1" applyAlignment="1" applyProtection="1">
      <protection hidden="1"/>
    </xf>
    <xf numFmtId="165" fontId="0" fillId="0" borderId="6" xfId="1" applyNumberFormat="1" applyFont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/>
      <protection hidden="1"/>
    </xf>
    <xf numFmtId="43" fontId="0" fillId="0" borderId="13" xfId="1" applyFont="1" applyBorder="1" applyAlignment="1" applyProtection="1">
      <protection hidden="1"/>
    </xf>
    <xf numFmtId="43" fontId="0" fillId="0" borderId="14" xfId="1" applyFon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67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6" fontId="0" fillId="2" borderId="0" xfId="0" applyNumberFormat="1" applyFill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 shrinkToFit="1"/>
      <protection hidden="1"/>
    </xf>
    <xf numFmtId="0" fontId="0" fillId="0" borderId="15" xfId="0" applyBorder="1" applyAlignment="1" applyProtection="1">
      <alignment horizontal="center" shrinkToFit="1"/>
      <protection hidden="1"/>
    </xf>
    <xf numFmtId="165" fontId="0" fillId="0" borderId="6" xfId="1" applyNumberFormat="1" applyFont="1" applyBorder="1" applyAlignment="1" applyProtection="1">
      <protection hidden="1"/>
    </xf>
    <xf numFmtId="165" fontId="0" fillId="0" borderId="15" xfId="1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left"/>
      <protection hidden="1"/>
    </xf>
    <xf numFmtId="166" fontId="0" fillId="0" borderId="10" xfId="0" applyNumberFormat="1" applyBorder="1" applyAlignment="1" applyProtection="1">
      <alignment horizontal="left"/>
      <protection hidden="1"/>
    </xf>
    <xf numFmtId="43" fontId="0" fillId="0" borderId="14" xfId="1" applyFont="1" applyBorder="1" applyAlignment="1" applyProtection="1">
      <protection hidden="1"/>
    </xf>
    <xf numFmtId="43" fontId="0" fillId="0" borderId="18" xfId="1" applyFont="1" applyBorder="1" applyAlignment="1" applyProtection="1">
      <protection hidden="1"/>
    </xf>
    <xf numFmtId="4" fontId="0" fillId="0" borderId="14" xfId="1" applyNumberFormat="1" applyFont="1" applyBorder="1" applyAlignment="1" applyProtection="1">
      <protection hidden="1"/>
    </xf>
    <xf numFmtId="4" fontId="0" fillId="0" borderId="18" xfId="1" applyNumberFormat="1" applyFont="1" applyBorder="1" applyAlignment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0519556509084"/>
          <c:y val="4.1343773578240012E-2"/>
          <c:w val="0.83519666986277641"/>
          <c:h val="0.852715330051200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Sheet1!$L$46</c:f>
              <c:strCache>
                <c:ptCount val="1"/>
                <c:pt idx="0">
                  <c:v>U0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Sheet1!$H$47:$H$226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Sheet1!$L$47:$L$226</c:f>
              <c:numCache>
                <c:formatCode>General</c:formatCode>
                <c:ptCount val="180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63600</c:v>
                </c:pt>
                <c:pt idx="49">
                  <c:v>31600</c:v>
                </c:pt>
                <c:pt idx="50">
                  <c:v>20933.333333333332</c:v>
                </c:pt>
                <c:pt idx="51">
                  <c:v>15600</c:v>
                </c:pt>
                <c:pt idx="52">
                  <c:v>12400</c:v>
                </c:pt>
                <c:pt idx="53">
                  <c:v>10266.666666666666</c:v>
                </c:pt>
                <c:pt idx="54">
                  <c:v>8742.8571428571431</c:v>
                </c:pt>
                <c:pt idx="55">
                  <c:v>7600</c:v>
                </c:pt>
                <c:pt idx="56">
                  <c:v>6711.1111111111113</c:v>
                </c:pt>
                <c:pt idx="57">
                  <c:v>6000</c:v>
                </c:pt>
                <c:pt idx="58">
                  <c:v>5418.181818181818</c:v>
                </c:pt>
                <c:pt idx="59">
                  <c:v>4933.333333333333</c:v>
                </c:pt>
                <c:pt idx="60">
                  <c:v>4523.0769230769229</c:v>
                </c:pt>
                <c:pt idx="61">
                  <c:v>4171.4285714285716</c:v>
                </c:pt>
                <c:pt idx="62">
                  <c:v>3866.666666666667</c:v>
                </c:pt>
                <c:pt idx="63">
                  <c:v>3600</c:v>
                </c:pt>
                <c:pt idx="64">
                  <c:v>3364.705882352941</c:v>
                </c:pt>
                <c:pt idx="65">
                  <c:v>3155.5555555555557</c:v>
                </c:pt>
                <c:pt idx="66">
                  <c:v>2968.4210526315787</c:v>
                </c:pt>
                <c:pt idx="67">
                  <c:v>2800</c:v>
                </c:pt>
                <c:pt idx="68">
                  <c:v>2647.6190476190477</c:v>
                </c:pt>
                <c:pt idx="69">
                  <c:v>2509.090909090909</c:v>
                </c:pt>
                <c:pt idx="70">
                  <c:v>2382.608695652174</c:v>
                </c:pt>
                <c:pt idx="71">
                  <c:v>2266.6666666666665</c:v>
                </c:pt>
                <c:pt idx="72">
                  <c:v>2160</c:v>
                </c:pt>
                <c:pt idx="73">
                  <c:v>2061.5384615384614</c:v>
                </c:pt>
                <c:pt idx="74">
                  <c:v>1970.3703703703704</c:v>
                </c:pt>
                <c:pt idx="75">
                  <c:v>1885.7142857142858</c:v>
                </c:pt>
                <c:pt idx="76">
                  <c:v>1806.8965517241381</c:v>
                </c:pt>
                <c:pt idx="77">
                  <c:v>1733.3333333333335</c:v>
                </c:pt>
                <c:pt idx="78">
                  <c:v>1664.516129032258</c:v>
                </c:pt>
                <c:pt idx="79">
                  <c:v>1600</c:v>
                </c:pt>
                <c:pt idx="80">
                  <c:v>1539.3939393939395</c:v>
                </c:pt>
                <c:pt idx="81">
                  <c:v>1482.3529411764705</c:v>
                </c:pt>
                <c:pt idx="82">
                  <c:v>1428.5714285714287</c:v>
                </c:pt>
                <c:pt idx="83">
                  <c:v>1377.7777777777778</c:v>
                </c:pt>
                <c:pt idx="84">
                  <c:v>1329.7297297297298</c:v>
                </c:pt>
                <c:pt idx="85">
                  <c:v>1284.2105263157894</c:v>
                </c:pt>
                <c:pt idx="86">
                  <c:v>1241.0256410256411</c:v>
                </c:pt>
                <c:pt idx="87">
                  <c:v>1200</c:v>
                </c:pt>
                <c:pt idx="88">
                  <c:v>1160.9756097560976</c:v>
                </c:pt>
                <c:pt idx="89">
                  <c:v>1123.8095238095239</c:v>
                </c:pt>
                <c:pt idx="90">
                  <c:v>1088.3720930232557</c:v>
                </c:pt>
                <c:pt idx="91">
                  <c:v>1054.5454545454545</c:v>
                </c:pt>
                <c:pt idx="92">
                  <c:v>1022.2222222222222</c:v>
                </c:pt>
                <c:pt idx="93">
                  <c:v>991.304347826087</c:v>
                </c:pt>
                <c:pt idx="94">
                  <c:v>961.70212765957444</c:v>
                </c:pt>
                <c:pt idx="95">
                  <c:v>933.33333333333326</c:v>
                </c:pt>
                <c:pt idx="96">
                  <c:v>906.12244897959181</c:v>
                </c:pt>
                <c:pt idx="97">
                  <c:v>880</c:v>
                </c:pt>
                <c:pt idx="98">
                  <c:v>854.90196078431381</c:v>
                </c:pt>
                <c:pt idx="99">
                  <c:v>830.76923076923072</c:v>
                </c:pt>
                <c:pt idx="100">
                  <c:v>807.54716981132083</c:v>
                </c:pt>
                <c:pt idx="101">
                  <c:v>785.18518518518522</c:v>
                </c:pt>
                <c:pt idx="102">
                  <c:v>763.63636363636374</c:v>
                </c:pt>
                <c:pt idx="103">
                  <c:v>742.85714285714289</c:v>
                </c:pt>
                <c:pt idx="104">
                  <c:v>722.80701754385973</c:v>
                </c:pt>
                <c:pt idx="105">
                  <c:v>703.44827586206907</c:v>
                </c:pt>
                <c:pt idx="106">
                  <c:v>684.74576271186447</c:v>
                </c:pt>
                <c:pt idx="107">
                  <c:v>666.66666666666674</c:v>
                </c:pt>
                <c:pt idx="108">
                  <c:v>649.18032786885237</c:v>
                </c:pt>
                <c:pt idx="109">
                  <c:v>632.25806451612902</c:v>
                </c:pt>
                <c:pt idx="110">
                  <c:v>615.8730158730159</c:v>
                </c:pt>
                <c:pt idx="111">
                  <c:v>600</c:v>
                </c:pt>
                <c:pt idx="112">
                  <c:v>584.61538461538464</c:v>
                </c:pt>
                <c:pt idx="113">
                  <c:v>569.69696969696975</c:v>
                </c:pt>
                <c:pt idx="114">
                  <c:v>555.22388059701495</c:v>
                </c:pt>
                <c:pt idx="115">
                  <c:v>541.17647058823525</c:v>
                </c:pt>
                <c:pt idx="116">
                  <c:v>527.536231884058</c:v>
                </c:pt>
                <c:pt idx="117">
                  <c:v>514.28571428571433</c:v>
                </c:pt>
                <c:pt idx="118">
                  <c:v>501.4084507042254</c:v>
                </c:pt>
                <c:pt idx="119">
                  <c:v>488.88888888888891</c:v>
                </c:pt>
                <c:pt idx="120">
                  <c:v>476.71232876712327</c:v>
                </c:pt>
                <c:pt idx="121">
                  <c:v>464.8648648648649</c:v>
                </c:pt>
                <c:pt idx="122">
                  <c:v>453.33333333333337</c:v>
                </c:pt>
                <c:pt idx="123">
                  <c:v>442.10526315789468</c:v>
                </c:pt>
                <c:pt idx="124">
                  <c:v>431.16883116883116</c:v>
                </c:pt>
                <c:pt idx="125">
                  <c:v>420.51282051282055</c:v>
                </c:pt>
                <c:pt idx="126">
                  <c:v>410.12658227848101</c:v>
                </c:pt>
                <c:pt idx="127">
                  <c:v>400</c:v>
                </c:pt>
                <c:pt idx="128">
                  <c:v>390.12345679012344</c:v>
                </c:pt>
                <c:pt idx="129">
                  <c:v>380.48780487804879</c:v>
                </c:pt>
                <c:pt idx="130">
                  <c:v>371.08433734939763</c:v>
                </c:pt>
                <c:pt idx="131">
                  <c:v>361.90476190476193</c:v>
                </c:pt>
                <c:pt idx="132">
                  <c:v>352.94117647058829</c:v>
                </c:pt>
                <c:pt idx="133">
                  <c:v>344.18604651162786</c:v>
                </c:pt>
                <c:pt idx="134">
                  <c:v>335.63218390804593</c:v>
                </c:pt>
                <c:pt idx="135">
                  <c:v>327.27272727272725</c:v>
                </c:pt>
                <c:pt idx="136">
                  <c:v>319.10112359550567</c:v>
                </c:pt>
                <c:pt idx="137">
                  <c:v>311.11111111111109</c:v>
                </c:pt>
                <c:pt idx="138">
                  <c:v>303.2967032967033</c:v>
                </c:pt>
                <c:pt idx="139">
                  <c:v>295.6521739130435</c:v>
                </c:pt>
                <c:pt idx="140">
                  <c:v>288.17204301075265</c:v>
                </c:pt>
                <c:pt idx="141">
                  <c:v>280.85106382978722</c:v>
                </c:pt>
                <c:pt idx="142">
                  <c:v>273.68421052631584</c:v>
                </c:pt>
                <c:pt idx="143">
                  <c:v>266.66666666666663</c:v>
                </c:pt>
                <c:pt idx="144">
                  <c:v>259.79381443298973</c:v>
                </c:pt>
                <c:pt idx="145">
                  <c:v>253.0612244897959</c:v>
                </c:pt>
                <c:pt idx="146">
                  <c:v>246.46464646464642</c:v>
                </c:pt>
                <c:pt idx="147">
                  <c:v>240</c:v>
                </c:pt>
                <c:pt idx="148">
                  <c:v>233.66336633663366</c:v>
                </c:pt>
                <c:pt idx="149">
                  <c:v>227.45098039215691</c:v>
                </c:pt>
                <c:pt idx="150">
                  <c:v>221.35922330097083</c:v>
                </c:pt>
                <c:pt idx="151">
                  <c:v>215.38461538461536</c:v>
                </c:pt>
                <c:pt idx="152">
                  <c:v>209.52380952380952</c:v>
                </c:pt>
                <c:pt idx="153">
                  <c:v>203.77358490566041</c:v>
                </c:pt>
                <c:pt idx="154">
                  <c:v>198.13084112149534</c:v>
                </c:pt>
                <c:pt idx="155">
                  <c:v>192.59259259259261</c:v>
                </c:pt>
                <c:pt idx="156">
                  <c:v>187.1559633027523</c:v>
                </c:pt>
                <c:pt idx="157">
                  <c:v>181.81818181818187</c:v>
                </c:pt>
                <c:pt idx="158">
                  <c:v>176.5765765765766</c:v>
                </c:pt>
                <c:pt idx="159">
                  <c:v>171.42857142857144</c:v>
                </c:pt>
                <c:pt idx="160">
                  <c:v>166.37168141592917</c:v>
                </c:pt>
                <c:pt idx="161">
                  <c:v>161.40350877192986</c:v>
                </c:pt>
                <c:pt idx="162">
                  <c:v>156.52173913043475</c:v>
                </c:pt>
                <c:pt idx="163">
                  <c:v>151.72413793103453</c:v>
                </c:pt>
                <c:pt idx="164">
                  <c:v>147.008547008547</c:v>
                </c:pt>
                <c:pt idx="165">
                  <c:v>142.37288135593224</c:v>
                </c:pt>
                <c:pt idx="166">
                  <c:v>137.81512605042019</c:v>
                </c:pt>
                <c:pt idx="167">
                  <c:v>133.33333333333337</c:v>
                </c:pt>
                <c:pt idx="168">
                  <c:v>128.92561983471069</c:v>
                </c:pt>
                <c:pt idx="169">
                  <c:v>124.59016393442619</c:v>
                </c:pt>
                <c:pt idx="170">
                  <c:v>120.32520325203257</c:v>
                </c:pt>
                <c:pt idx="171">
                  <c:v>116.12903225806451</c:v>
                </c:pt>
                <c:pt idx="172">
                  <c:v>112</c:v>
                </c:pt>
                <c:pt idx="173">
                  <c:v>107.93650793650795</c:v>
                </c:pt>
                <c:pt idx="174">
                  <c:v>103.93700787401576</c:v>
                </c:pt>
                <c:pt idx="175">
                  <c:v>100</c:v>
                </c:pt>
                <c:pt idx="176">
                  <c:v>96.12403100775191</c:v>
                </c:pt>
                <c:pt idx="177">
                  <c:v>92.307692307692321</c:v>
                </c:pt>
                <c:pt idx="178">
                  <c:v>88.549618320610705</c:v>
                </c:pt>
                <c:pt idx="179">
                  <c:v>84.848484848484873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Sheet1!$R$41</c:f>
              <c:strCache>
                <c:ptCount val="1"/>
                <c:pt idx="0">
                  <c:v>B0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Sheet1!$Q$42:$Q$43</c:f>
              <c:numCache>
                <c:formatCode>General</c:formatCode>
                <c:ptCount val="2"/>
                <c:pt idx="0">
                  <c:v>0</c:v>
                </c:pt>
                <c:pt idx="1">
                  <c:v>168</c:v>
                </c:pt>
              </c:numCache>
            </c:numRef>
          </c:xVal>
          <c:yVal>
            <c:numRef>
              <c:f>Sheet1!$R$42:$R$43</c:f>
              <c:numCache>
                <c:formatCode>General</c:formatCode>
                <c:ptCount val="2"/>
                <c:pt idx="0">
                  <c:v>1680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Sheet1!$S$41</c:f>
              <c:strCache>
                <c:ptCount val="1"/>
                <c:pt idx="0">
                  <c:v>BX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Sheet1!$Q$42:$Q$43</c:f>
              <c:numCache>
                <c:formatCode>General</c:formatCode>
                <c:ptCount val="2"/>
                <c:pt idx="0">
                  <c:v>0</c:v>
                </c:pt>
                <c:pt idx="1">
                  <c:v>168</c:v>
                </c:pt>
              </c:numCache>
            </c:numRef>
          </c:xVal>
          <c:yVal>
            <c:numRef>
              <c:f>Sheet1!$S$42:$S$43</c:f>
              <c:numCache>
                <c:formatCode>General</c:formatCode>
                <c:ptCount val="2"/>
                <c:pt idx="0">
                  <c:v>5040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Sheet1!$W$41</c:f>
              <c:strCache>
                <c:ptCount val="1"/>
                <c:pt idx="0">
                  <c:v>BotX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Sheet1!$V$42:$V$47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128</c:v>
                </c:pt>
                <c:pt idx="3">
                  <c:v>128</c:v>
                </c:pt>
                <c:pt idx="4">
                  <c:v>168</c:v>
                </c:pt>
                <c:pt idx="5">
                  <c:v>168</c:v>
                </c:pt>
              </c:numCache>
            </c:numRef>
          </c:xVal>
          <c:yVal>
            <c:numRef>
              <c:f>Sheet1!$W$42:$W$47</c:f>
              <c:numCache>
                <c:formatCode>General</c:formatCode>
                <c:ptCount val="6"/>
                <c:pt idx="0">
                  <c:v>4240</c:v>
                </c:pt>
                <c:pt idx="1">
                  <c:v>4240</c:v>
                </c:pt>
                <c:pt idx="2">
                  <c:v>400</c:v>
                </c:pt>
                <c:pt idx="3">
                  <c:v>400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Sheet1!$M$46</c:f>
              <c:strCache>
                <c:ptCount val="1"/>
                <c:pt idx="0">
                  <c:v>UotX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Sheet1!$H$47:$H$226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Sheet1!$M$47:$M$226</c:f>
              <c:numCache>
                <c:formatCode>General</c:formatCode>
                <c:ptCount val="180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84933.333333333328</c:v>
                </c:pt>
                <c:pt idx="49">
                  <c:v>42266.666666666664</c:v>
                </c:pt>
                <c:pt idx="50">
                  <c:v>28044.444444444442</c:v>
                </c:pt>
                <c:pt idx="51">
                  <c:v>20933.333333333332</c:v>
                </c:pt>
                <c:pt idx="52">
                  <c:v>16666.666666666664</c:v>
                </c:pt>
                <c:pt idx="53">
                  <c:v>13822.222222222221</c:v>
                </c:pt>
                <c:pt idx="54">
                  <c:v>11790.476190476189</c:v>
                </c:pt>
                <c:pt idx="55">
                  <c:v>10266.666666666666</c:v>
                </c:pt>
                <c:pt idx="56">
                  <c:v>9081.4814814814818</c:v>
                </c:pt>
                <c:pt idx="57">
                  <c:v>8133.3333333333321</c:v>
                </c:pt>
                <c:pt idx="58">
                  <c:v>7357.5757575757571</c:v>
                </c:pt>
                <c:pt idx="59">
                  <c:v>6711.1111111111104</c:v>
                </c:pt>
                <c:pt idx="60">
                  <c:v>6164.1025641025635</c:v>
                </c:pt>
                <c:pt idx="61">
                  <c:v>5695.2380952380945</c:v>
                </c:pt>
                <c:pt idx="62">
                  <c:v>5288.8888888888887</c:v>
                </c:pt>
                <c:pt idx="63">
                  <c:v>4933.333333333333</c:v>
                </c:pt>
                <c:pt idx="64">
                  <c:v>4619.6078431372543</c:v>
                </c:pt>
                <c:pt idx="65">
                  <c:v>4340.7407407407409</c:v>
                </c:pt>
                <c:pt idx="66">
                  <c:v>4091.228070175438</c:v>
                </c:pt>
                <c:pt idx="67">
                  <c:v>3866.6666666666661</c:v>
                </c:pt>
                <c:pt idx="68">
                  <c:v>3663.4920634920632</c:v>
                </c:pt>
                <c:pt idx="69">
                  <c:v>3478.7878787878785</c:v>
                </c:pt>
                <c:pt idx="70">
                  <c:v>3310.1449275362315</c:v>
                </c:pt>
                <c:pt idx="71">
                  <c:v>3155.5555555555552</c:v>
                </c:pt>
                <c:pt idx="72">
                  <c:v>3013.333333333333</c:v>
                </c:pt>
                <c:pt idx="73">
                  <c:v>2882.0512820512818</c:v>
                </c:pt>
                <c:pt idx="74">
                  <c:v>2760.4938271604938</c:v>
                </c:pt>
                <c:pt idx="75">
                  <c:v>2647.6190476190473</c:v>
                </c:pt>
                <c:pt idx="76">
                  <c:v>2542.5287356321837</c:v>
                </c:pt>
                <c:pt idx="77">
                  <c:v>2444.4444444444443</c:v>
                </c:pt>
                <c:pt idx="78">
                  <c:v>2352.6881720430106</c:v>
                </c:pt>
                <c:pt idx="79">
                  <c:v>2266.6666666666665</c:v>
                </c:pt>
                <c:pt idx="80">
                  <c:v>2185.8585858585857</c:v>
                </c:pt>
                <c:pt idx="81">
                  <c:v>2109.8039215686272</c:v>
                </c:pt>
                <c:pt idx="82">
                  <c:v>2038.0952380952381</c:v>
                </c:pt>
                <c:pt idx="83">
                  <c:v>1970.3703703703704</c:v>
                </c:pt>
                <c:pt idx="84">
                  <c:v>1906.3063063063064</c:v>
                </c:pt>
                <c:pt idx="85">
                  <c:v>1845.614035087719</c:v>
                </c:pt>
                <c:pt idx="86">
                  <c:v>1788.034188034188</c:v>
                </c:pt>
                <c:pt idx="87">
                  <c:v>1733.333333333333</c:v>
                </c:pt>
                <c:pt idx="88">
                  <c:v>1681.3008130081298</c:v>
                </c:pt>
                <c:pt idx="89">
                  <c:v>1631.7460317460316</c:v>
                </c:pt>
                <c:pt idx="90">
                  <c:v>1584.4961240310076</c:v>
                </c:pt>
                <c:pt idx="91">
                  <c:v>1539.3939393939393</c:v>
                </c:pt>
                <c:pt idx="92">
                  <c:v>1496.2962962962961</c:v>
                </c:pt>
                <c:pt idx="93">
                  <c:v>1455.0724637681158</c:v>
                </c:pt>
                <c:pt idx="94">
                  <c:v>1415.6028368794325</c:v>
                </c:pt>
                <c:pt idx="95">
                  <c:v>1377.7777777777776</c:v>
                </c:pt>
                <c:pt idx="96">
                  <c:v>1341.4965986394557</c:v>
                </c:pt>
                <c:pt idx="97">
                  <c:v>1306.6666666666665</c:v>
                </c:pt>
                <c:pt idx="98">
                  <c:v>1273.2026143790849</c:v>
                </c:pt>
                <c:pt idx="99">
                  <c:v>1241.0256410256409</c:v>
                </c:pt>
                <c:pt idx="100">
                  <c:v>1210.0628930817609</c:v>
                </c:pt>
                <c:pt idx="101">
                  <c:v>1180.2469135802469</c:v>
                </c:pt>
                <c:pt idx="102">
                  <c:v>1151.5151515151515</c:v>
                </c:pt>
                <c:pt idx="103">
                  <c:v>1123.8095238095236</c:v>
                </c:pt>
                <c:pt idx="104">
                  <c:v>1097.0760233918127</c:v>
                </c:pt>
                <c:pt idx="105">
                  <c:v>1071.2643678160919</c:v>
                </c:pt>
                <c:pt idx="106">
                  <c:v>1046.3276836158191</c:v>
                </c:pt>
                <c:pt idx="107">
                  <c:v>1022.2222222222222</c:v>
                </c:pt>
                <c:pt idx="108">
                  <c:v>998.90710382513657</c:v>
                </c:pt>
                <c:pt idx="109">
                  <c:v>976.34408602150529</c:v>
                </c:pt>
                <c:pt idx="110">
                  <c:v>954.49735449735431</c:v>
                </c:pt>
                <c:pt idx="111">
                  <c:v>933.33333333333326</c:v>
                </c:pt>
                <c:pt idx="112">
                  <c:v>912.8205128205127</c:v>
                </c:pt>
                <c:pt idx="113">
                  <c:v>892.92929292929284</c:v>
                </c:pt>
                <c:pt idx="114">
                  <c:v>873.63184079601979</c:v>
                </c:pt>
                <c:pt idx="115">
                  <c:v>854.90196078431359</c:v>
                </c:pt>
                <c:pt idx="116">
                  <c:v>836.71497584541066</c:v>
                </c:pt>
                <c:pt idx="117">
                  <c:v>819.04761904761904</c:v>
                </c:pt>
                <c:pt idx="118">
                  <c:v>801.87793427230031</c:v>
                </c:pt>
                <c:pt idx="119">
                  <c:v>785.18518518518522</c:v>
                </c:pt>
                <c:pt idx="120">
                  <c:v>768.94977168949754</c:v>
                </c:pt>
                <c:pt idx="121">
                  <c:v>753.1531531531532</c:v>
                </c:pt>
                <c:pt idx="122">
                  <c:v>737.7777777777776</c:v>
                </c:pt>
                <c:pt idx="123">
                  <c:v>722.8070175438595</c:v>
                </c:pt>
                <c:pt idx="124">
                  <c:v>708.22510822510822</c:v>
                </c:pt>
                <c:pt idx="125">
                  <c:v>694.017094017094</c:v>
                </c:pt>
                <c:pt idx="126">
                  <c:v>680.16877637130801</c:v>
                </c:pt>
                <c:pt idx="127">
                  <c:v>666.66666666666652</c:v>
                </c:pt>
                <c:pt idx="128">
                  <c:v>653.49794238683126</c:v>
                </c:pt>
                <c:pt idx="129">
                  <c:v>640.6504065040649</c:v>
                </c:pt>
                <c:pt idx="130">
                  <c:v>628.11244979919684</c:v>
                </c:pt>
                <c:pt idx="131">
                  <c:v>615.87301587301579</c:v>
                </c:pt>
                <c:pt idx="132">
                  <c:v>603.92156862745094</c:v>
                </c:pt>
                <c:pt idx="133">
                  <c:v>592.24806201550382</c:v>
                </c:pt>
                <c:pt idx="134">
                  <c:v>580.84291187739461</c:v>
                </c:pt>
                <c:pt idx="135">
                  <c:v>569.69696969696963</c:v>
                </c:pt>
                <c:pt idx="136">
                  <c:v>558.80149812734078</c:v>
                </c:pt>
                <c:pt idx="137">
                  <c:v>548.14814814814804</c:v>
                </c:pt>
                <c:pt idx="138">
                  <c:v>537.72893772893769</c:v>
                </c:pt>
                <c:pt idx="139">
                  <c:v>527.53623188405788</c:v>
                </c:pt>
                <c:pt idx="140">
                  <c:v>517.56272401433682</c:v>
                </c:pt>
                <c:pt idx="141">
                  <c:v>507.80141843971626</c:v>
                </c:pt>
                <c:pt idx="142">
                  <c:v>498.24561403508767</c:v>
                </c:pt>
                <c:pt idx="143">
                  <c:v>488.8888888888888</c:v>
                </c:pt>
                <c:pt idx="144">
                  <c:v>479.72508591065287</c:v>
                </c:pt>
                <c:pt idx="145">
                  <c:v>470.74829931972783</c:v>
                </c:pt>
                <c:pt idx="146">
                  <c:v>461.95286195286189</c:v>
                </c:pt>
                <c:pt idx="147">
                  <c:v>453.33333333333326</c:v>
                </c:pt>
                <c:pt idx="148">
                  <c:v>444.88448844884488</c:v>
                </c:pt>
                <c:pt idx="149">
                  <c:v>436.60130718954247</c:v>
                </c:pt>
                <c:pt idx="150">
                  <c:v>428.47896440129443</c:v>
                </c:pt>
                <c:pt idx="151">
                  <c:v>420.51282051282044</c:v>
                </c:pt>
                <c:pt idx="152">
                  <c:v>412.69841269841265</c:v>
                </c:pt>
                <c:pt idx="153">
                  <c:v>405.03144654088044</c:v>
                </c:pt>
                <c:pt idx="154">
                  <c:v>397.50778816199374</c:v>
                </c:pt>
                <c:pt idx="155">
                  <c:v>390.12345679012344</c:v>
                </c:pt>
                <c:pt idx="156">
                  <c:v>382.87461773700306</c:v>
                </c:pt>
                <c:pt idx="157">
                  <c:v>375.75757575757575</c:v>
                </c:pt>
                <c:pt idx="158">
                  <c:v>368.76876876876872</c:v>
                </c:pt>
                <c:pt idx="159">
                  <c:v>361.90476190476181</c:v>
                </c:pt>
                <c:pt idx="160">
                  <c:v>355.16224188790557</c:v>
                </c:pt>
                <c:pt idx="161">
                  <c:v>348.53801169590633</c:v>
                </c:pt>
                <c:pt idx="162">
                  <c:v>342.02898550724638</c:v>
                </c:pt>
                <c:pt idx="163">
                  <c:v>335.63218390804593</c:v>
                </c:pt>
                <c:pt idx="164">
                  <c:v>329.34472934472933</c:v>
                </c:pt>
                <c:pt idx="165">
                  <c:v>323.16384180790953</c:v>
                </c:pt>
                <c:pt idx="166">
                  <c:v>317.08683473389351</c:v>
                </c:pt>
                <c:pt idx="167">
                  <c:v>311.11111111111109</c:v>
                </c:pt>
                <c:pt idx="168">
                  <c:v>305.23415977961429</c:v>
                </c:pt>
                <c:pt idx="169">
                  <c:v>299.45355191256829</c:v>
                </c:pt>
                <c:pt idx="170">
                  <c:v>293.7669376693766</c:v>
                </c:pt>
                <c:pt idx="171">
                  <c:v>288.17204301075265</c:v>
                </c:pt>
                <c:pt idx="172">
                  <c:v>282.66666666666663</c:v>
                </c:pt>
                <c:pt idx="173">
                  <c:v>277.24867724867715</c:v>
                </c:pt>
                <c:pt idx="174">
                  <c:v>271.91601049868757</c:v>
                </c:pt>
                <c:pt idx="175">
                  <c:v>266.66666666666663</c:v>
                </c:pt>
                <c:pt idx="176">
                  <c:v>261.49870801033592</c:v>
                </c:pt>
                <c:pt idx="177">
                  <c:v>256.41025641025635</c:v>
                </c:pt>
                <c:pt idx="178">
                  <c:v>251.39949109414749</c:v>
                </c:pt>
                <c:pt idx="179">
                  <c:v>246.46464646464642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Sheet1!$N$46</c:f>
              <c:strCache>
                <c:ptCount val="1"/>
                <c:pt idx="0">
                  <c:v>UX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Sheet1!$H$47:$H$226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Sheet1!$N$47:$N$226</c:f>
              <c:numCache>
                <c:formatCode>General</c:formatCode>
                <c:ptCount val="180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132933.33333333334</c:v>
                </c:pt>
                <c:pt idx="49">
                  <c:v>66266.666666666672</c:v>
                </c:pt>
                <c:pt idx="50">
                  <c:v>44044.444444444445</c:v>
                </c:pt>
                <c:pt idx="51">
                  <c:v>32933.333333333336</c:v>
                </c:pt>
                <c:pt idx="52">
                  <c:v>26266.666666666668</c:v>
                </c:pt>
                <c:pt idx="53">
                  <c:v>21822.222222222223</c:v>
                </c:pt>
                <c:pt idx="54">
                  <c:v>18647.61904761905</c:v>
                </c:pt>
                <c:pt idx="55">
                  <c:v>16266.666666666668</c:v>
                </c:pt>
                <c:pt idx="56">
                  <c:v>14414.814814814816</c:v>
                </c:pt>
                <c:pt idx="57">
                  <c:v>12933.333333333334</c:v>
                </c:pt>
                <c:pt idx="58">
                  <c:v>11721.212121212122</c:v>
                </c:pt>
                <c:pt idx="59">
                  <c:v>10711.111111111111</c:v>
                </c:pt>
                <c:pt idx="60">
                  <c:v>9856.4102564102577</c:v>
                </c:pt>
                <c:pt idx="61">
                  <c:v>9123.8095238095248</c:v>
                </c:pt>
                <c:pt idx="62">
                  <c:v>8488.8888888888887</c:v>
                </c:pt>
                <c:pt idx="63">
                  <c:v>7933.3333333333339</c:v>
                </c:pt>
                <c:pt idx="64">
                  <c:v>7443.1372549019616</c:v>
                </c:pt>
                <c:pt idx="65">
                  <c:v>7007.4074074074078</c:v>
                </c:pt>
                <c:pt idx="66">
                  <c:v>6617.5438596491231</c:v>
                </c:pt>
                <c:pt idx="67">
                  <c:v>6266.666666666667</c:v>
                </c:pt>
                <c:pt idx="68">
                  <c:v>5949.2063492063498</c:v>
                </c:pt>
                <c:pt idx="69">
                  <c:v>5660.606060606061</c:v>
                </c:pt>
                <c:pt idx="70">
                  <c:v>5397.1014492753629</c:v>
                </c:pt>
                <c:pt idx="71">
                  <c:v>5155.5555555555557</c:v>
                </c:pt>
                <c:pt idx="72">
                  <c:v>4933.3333333333339</c:v>
                </c:pt>
                <c:pt idx="73">
                  <c:v>4728.2051282051289</c:v>
                </c:pt>
                <c:pt idx="74">
                  <c:v>4538.2716049382716</c:v>
                </c:pt>
                <c:pt idx="75">
                  <c:v>4361.9047619047624</c:v>
                </c:pt>
                <c:pt idx="76">
                  <c:v>4197.7011494252874</c:v>
                </c:pt>
                <c:pt idx="77">
                  <c:v>4044.4444444444443</c:v>
                </c:pt>
                <c:pt idx="78">
                  <c:v>3901.0752688172042</c:v>
                </c:pt>
                <c:pt idx="79">
                  <c:v>3766.666666666667</c:v>
                </c:pt>
                <c:pt idx="80">
                  <c:v>3640.4040404040406</c:v>
                </c:pt>
                <c:pt idx="81">
                  <c:v>3521.5686274509808</c:v>
                </c:pt>
                <c:pt idx="82">
                  <c:v>3409.5238095238096</c:v>
                </c:pt>
                <c:pt idx="83">
                  <c:v>3303.7037037037039</c:v>
                </c:pt>
                <c:pt idx="84">
                  <c:v>3203.6036036036039</c:v>
                </c:pt>
                <c:pt idx="85">
                  <c:v>3108.7719298245615</c:v>
                </c:pt>
                <c:pt idx="86">
                  <c:v>3018.8034188034189</c:v>
                </c:pt>
                <c:pt idx="87">
                  <c:v>2933.3333333333335</c:v>
                </c:pt>
                <c:pt idx="88">
                  <c:v>2852.0325203252037</c:v>
                </c:pt>
                <c:pt idx="89">
                  <c:v>2774.6031746031749</c:v>
                </c:pt>
                <c:pt idx="90">
                  <c:v>2700.7751937984499</c:v>
                </c:pt>
                <c:pt idx="91">
                  <c:v>2630.3030303030305</c:v>
                </c:pt>
                <c:pt idx="92">
                  <c:v>2562.962962962963</c:v>
                </c:pt>
                <c:pt idx="93">
                  <c:v>2498.5507246376815</c:v>
                </c:pt>
                <c:pt idx="94">
                  <c:v>2436.8794326241136</c:v>
                </c:pt>
                <c:pt idx="95">
                  <c:v>2377.7777777777778</c:v>
                </c:pt>
                <c:pt idx="96">
                  <c:v>2321.0884353741499</c:v>
                </c:pt>
                <c:pt idx="97">
                  <c:v>2266.666666666667</c:v>
                </c:pt>
                <c:pt idx="98">
                  <c:v>2214.3790849673205</c:v>
                </c:pt>
                <c:pt idx="99">
                  <c:v>2164.1025641025644</c:v>
                </c:pt>
                <c:pt idx="100">
                  <c:v>2115.7232704402518</c:v>
                </c:pt>
                <c:pt idx="101">
                  <c:v>2069.1358024691358</c:v>
                </c:pt>
                <c:pt idx="102">
                  <c:v>2024.2424242424245</c:v>
                </c:pt>
                <c:pt idx="103">
                  <c:v>1980.9523809523812</c:v>
                </c:pt>
                <c:pt idx="104">
                  <c:v>1939.1812865497077</c:v>
                </c:pt>
                <c:pt idx="105">
                  <c:v>1898.8505747126437</c:v>
                </c:pt>
                <c:pt idx="106">
                  <c:v>1859.8870056497176</c:v>
                </c:pt>
                <c:pt idx="107">
                  <c:v>1822.2222222222222</c:v>
                </c:pt>
                <c:pt idx="108">
                  <c:v>1785.7923497267761</c:v>
                </c:pt>
                <c:pt idx="109">
                  <c:v>1750.5376344086021</c:v>
                </c:pt>
                <c:pt idx="110">
                  <c:v>1716.4021164021165</c:v>
                </c:pt>
                <c:pt idx="111">
                  <c:v>1683.3333333333335</c:v>
                </c:pt>
                <c:pt idx="112">
                  <c:v>1651.2820512820513</c:v>
                </c:pt>
                <c:pt idx="113">
                  <c:v>1620.2020202020203</c:v>
                </c:pt>
                <c:pt idx="114">
                  <c:v>1590.0497512437812</c:v>
                </c:pt>
                <c:pt idx="115">
                  <c:v>1560.7843137254904</c:v>
                </c:pt>
                <c:pt idx="116">
                  <c:v>1532.3671497584542</c:v>
                </c:pt>
                <c:pt idx="117">
                  <c:v>1504.7619047619048</c:v>
                </c:pt>
                <c:pt idx="118">
                  <c:v>1477.9342723004697</c:v>
                </c:pt>
                <c:pt idx="119">
                  <c:v>1451.851851851852</c:v>
                </c:pt>
                <c:pt idx="120">
                  <c:v>1426.4840182648404</c:v>
                </c:pt>
                <c:pt idx="121">
                  <c:v>1401.801801801802</c:v>
                </c:pt>
                <c:pt idx="122">
                  <c:v>1377.7777777777778</c:v>
                </c:pt>
                <c:pt idx="123">
                  <c:v>1354.3859649122808</c:v>
                </c:pt>
                <c:pt idx="124">
                  <c:v>1331.6017316017317</c:v>
                </c:pt>
                <c:pt idx="125">
                  <c:v>1309.4017094017095</c:v>
                </c:pt>
                <c:pt idx="126">
                  <c:v>1287.7637130801688</c:v>
                </c:pt>
                <c:pt idx="127">
                  <c:v>1266.6666666666667</c:v>
                </c:pt>
                <c:pt idx="128">
                  <c:v>1246.0905349794241</c:v>
                </c:pt>
                <c:pt idx="129">
                  <c:v>1226.0162601626018</c:v>
                </c:pt>
                <c:pt idx="130">
                  <c:v>1206.4257028112452</c:v>
                </c:pt>
                <c:pt idx="131">
                  <c:v>1187.3015873015875</c:v>
                </c:pt>
                <c:pt idx="132">
                  <c:v>1168.6274509803923</c:v>
                </c:pt>
                <c:pt idx="133">
                  <c:v>1150.3875968992249</c:v>
                </c:pt>
                <c:pt idx="134">
                  <c:v>1132.5670498084291</c:v>
                </c:pt>
                <c:pt idx="135">
                  <c:v>1115.1515151515152</c:v>
                </c:pt>
                <c:pt idx="136">
                  <c:v>1098.1273408239701</c:v>
                </c:pt>
                <c:pt idx="137">
                  <c:v>1081.4814814814815</c:v>
                </c:pt>
                <c:pt idx="138">
                  <c:v>1065.2014652014652</c:v>
                </c:pt>
                <c:pt idx="139">
                  <c:v>1049.2753623188407</c:v>
                </c:pt>
                <c:pt idx="140">
                  <c:v>1033.6917562724016</c:v>
                </c:pt>
                <c:pt idx="141">
                  <c:v>1018.4397163120568</c:v>
                </c:pt>
                <c:pt idx="142">
                  <c:v>1003.5087719298247</c:v>
                </c:pt>
                <c:pt idx="143">
                  <c:v>988.88888888888891</c:v>
                </c:pt>
                <c:pt idx="144">
                  <c:v>974.57044673539531</c:v>
                </c:pt>
                <c:pt idx="145">
                  <c:v>960.54421768707493</c:v>
                </c:pt>
                <c:pt idx="146">
                  <c:v>946.80134680134688</c:v>
                </c:pt>
                <c:pt idx="147">
                  <c:v>933.33333333333348</c:v>
                </c:pt>
                <c:pt idx="148">
                  <c:v>920.13201320132021</c:v>
                </c:pt>
                <c:pt idx="149">
                  <c:v>907.18954248366026</c:v>
                </c:pt>
                <c:pt idx="150">
                  <c:v>894.49838187702267</c:v>
                </c:pt>
                <c:pt idx="151">
                  <c:v>882.05128205128221</c:v>
                </c:pt>
                <c:pt idx="152">
                  <c:v>869.84126984126988</c:v>
                </c:pt>
                <c:pt idx="153">
                  <c:v>857.86163522012589</c:v>
                </c:pt>
                <c:pt idx="154">
                  <c:v>846.10591900311533</c:v>
                </c:pt>
                <c:pt idx="155">
                  <c:v>834.5679012345679</c:v>
                </c:pt>
                <c:pt idx="156">
                  <c:v>823.2415902140674</c:v>
                </c:pt>
                <c:pt idx="157">
                  <c:v>812.12121212121224</c:v>
                </c:pt>
                <c:pt idx="158">
                  <c:v>801.20120120120123</c:v>
                </c:pt>
                <c:pt idx="159">
                  <c:v>790.4761904761906</c:v>
                </c:pt>
                <c:pt idx="160">
                  <c:v>779.94100294985265</c:v>
                </c:pt>
                <c:pt idx="161">
                  <c:v>769.59064327485385</c:v>
                </c:pt>
                <c:pt idx="162">
                  <c:v>759.4202898550725</c:v>
                </c:pt>
                <c:pt idx="163">
                  <c:v>749.42528735632186</c:v>
                </c:pt>
                <c:pt idx="164">
                  <c:v>739.60113960113972</c:v>
                </c:pt>
                <c:pt idx="165">
                  <c:v>729.9435028248588</c:v>
                </c:pt>
                <c:pt idx="166">
                  <c:v>720.4481792717088</c:v>
                </c:pt>
                <c:pt idx="167">
                  <c:v>711.11111111111109</c:v>
                </c:pt>
                <c:pt idx="168">
                  <c:v>701.92837465564753</c:v>
                </c:pt>
                <c:pt idx="169">
                  <c:v>692.89617486338807</c:v>
                </c:pt>
                <c:pt idx="170">
                  <c:v>684.01084010840123</c:v>
                </c:pt>
                <c:pt idx="171">
                  <c:v>675.26881720430106</c:v>
                </c:pt>
                <c:pt idx="172">
                  <c:v>666.66666666666674</c:v>
                </c:pt>
                <c:pt idx="173">
                  <c:v>658.20105820105823</c:v>
                </c:pt>
                <c:pt idx="174">
                  <c:v>649.8687664041995</c:v>
                </c:pt>
                <c:pt idx="175">
                  <c:v>641.66666666666674</c:v>
                </c:pt>
                <c:pt idx="176">
                  <c:v>633.59173126614996</c:v>
                </c:pt>
                <c:pt idx="177">
                  <c:v>625.64102564102564</c:v>
                </c:pt>
                <c:pt idx="178">
                  <c:v>617.81170483460562</c:v>
                </c:pt>
                <c:pt idx="179">
                  <c:v>610.10101010101016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Sheet1!$U$41</c:f>
              <c:strCache>
                <c:ptCount val="1"/>
                <c:pt idx="0">
                  <c:v>Bsub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Sheet1!$T$42:$T$43</c:f>
              <c:numCache>
                <c:formatCode>General</c:formatCode>
                <c:ptCount val="2"/>
                <c:pt idx="0">
                  <c:v>0</c:v>
                </c:pt>
                <c:pt idx="1">
                  <c:v>127.0427097370068</c:v>
                </c:pt>
              </c:numCache>
            </c:numRef>
          </c:xVal>
          <c:yVal>
            <c:numRef>
              <c:f>Sheet1!$U$42:$U$43</c:f>
              <c:numCache>
                <c:formatCode>General</c:formatCode>
                <c:ptCount val="2"/>
                <c:pt idx="0">
                  <c:v>3811.281292110204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Sheet1!$Q$45</c:f>
              <c:strCache>
                <c:ptCount val="1"/>
                <c:pt idx="0">
                  <c:v>Maxhrs/Wk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Sheet1!$Q$46:$Q$47</c:f>
              <c:numCache>
                <c:formatCode>General</c:formatCode>
                <c:ptCount val="2"/>
                <c:pt idx="0">
                  <c:v>168</c:v>
                </c:pt>
                <c:pt idx="1">
                  <c:v>168</c:v>
                </c:pt>
              </c:numCache>
            </c:numRef>
          </c:xVal>
          <c:yVal>
            <c:numRef>
              <c:f>Sheet1!$S$46:$S$47</c:f>
              <c:numCache>
                <c:formatCode>General</c:formatCode>
                <c:ptCount val="2"/>
                <c:pt idx="0">
                  <c:v>2400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Sheet1!$R$45</c:f>
              <c:strCache>
                <c:ptCount val="1"/>
                <c:pt idx="0">
                  <c:v>40hrs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Sheet1!$R$46:$R$47</c:f>
              <c:numCache>
                <c:formatCode>General</c:formatCode>
                <c:ptCount val="2"/>
                <c:pt idx="0">
                  <c:v>128</c:v>
                </c:pt>
                <c:pt idx="1">
                  <c:v>128</c:v>
                </c:pt>
              </c:numCache>
            </c:numRef>
          </c:xVal>
          <c:yVal>
            <c:numRef>
              <c:f>Sheet1!$S$46:$S$47</c:f>
              <c:numCache>
                <c:formatCode>General</c:formatCode>
                <c:ptCount val="2"/>
                <c:pt idx="0">
                  <c:v>2400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Sheet1!$T$34</c:f>
              <c:strCache>
                <c:ptCount val="1"/>
                <c:pt idx="0">
                  <c:v>N,Y0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Sheet1!$P$35:$P$40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</c:numCache>
            </c:numRef>
          </c:xVal>
          <c:yVal>
            <c:numRef>
              <c:f>Sheet1!$T$35:$T$40</c:f>
              <c:numCache>
                <c:formatCode>General</c:formatCode>
                <c:ptCount val="6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Sheet1!$U$34</c:f>
              <c:strCache>
                <c:ptCount val="1"/>
                <c:pt idx="0">
                  <c:v>N,YotX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Sheet1!$Q$35:$Q$40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101.33333333333333</c:v>
                </c:pt>
                <c:pt idx="3">
                  <c:v>101.33333333333333</c:v>
                </c:pt>
                <c:pt idx="4">
                  <c:v>101.33333333333333</c:v>
                </c:pt>
                <c:pt idx="5">
                  <c:v>101.33333333333333</c:v>
                </c:pt>
              </c:numCache>
            </c:numRef>
          </c:xVal>
          <c:yVal>
            <c:numRef>
              <c:f>Sheet1!$U$35:$U$40</c:f>
              <c:numCache>
                <c:formatCode>General</c:formatCode>
                <c:ptCount val="6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Sheet1!$V$34</c:f>
              <c:strCache>
                <c:ptCount val="1"/>
                <c:pt idx="0">
                  <c:v>N,YX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Sheet1!$R$35:$R$40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114.66666666666667</c:v>
                </c:pt>
                <c:pt idx="3">
                  <c:v>114.66666666666667</c:v>
                </c:pt>
                <c:pt idx="4">
                  <c:v>114.66666666666667</c:v>
                </c:pt>
                <c:pt idx="5">
                  <c:v>114.66666666666667</c:v>
                </c:pt>
              </c:numCache>
            </c:numRef>
          </c:xVal>
          <c:yVal>
            <c:numRef>
              <c:f>Sheet1!$V$35:$V$40</c:f>
              <c:numCache>
                <c:formatCode>General</c:formatCode>
                <c:ptCount val="6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Sheet1!$W$34</c:f>
              <c:strCache>
                <c:ptCount val="1"/>
                <c:pt idx="0">
                  <c:v>N,YSub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Sheet1!$S$35:$S$40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94.188021535170066</c:v>
                </c:pt>
                <c:pt idx="3">
                  <c:v>94.188021535170066</c:v>
                </c:pt>
                <c:pt idx="4">
                  <c:v>94.188021535170066</c:v>
                </c:pt>
                <c:pt idx="5">
                  <c:v>94.188021535170066</c:v>
                </c:pt>
              </c:numCache>
            </c:numRef>
          </c:xVal>
          <c:yVal>
            <c:numRef>
              <c:f>Sheet1!$W$35:$W$40</c:f>
              <c:numCache>
                <c:formatCode>General</c:formatCode>
                <c:ptCount val="6"/>
                <c:pt idx="0">
                  <c:v>985.64064605510202</c:v>
                </c:pt>
                <c:pt idx="1">
                  <c:v>985.64064605510202</c:v>
                </c:pt>
                <c:pt idx="2">
                  <c:v>985.64064605510202</c:v>
                </c:pt>
                <c:pt idx="3">
                  <c:v>985.64064605510202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Sheet1!$AB$52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Sheet1!$AA$53:$AA$78</c:f>
              <c:numCache>
                <c:formatCode>General</c:formatCode>
                <c:ptCount val="26"/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</c:numCache>
            </c:numRef>
          </c:xVal>
          <c:yVal>
            <c:numRef>
              <c:f>Sheet1!$AB$53:$AB$78</c:f>
              <c:numCache>
                <c:formatCode>General</c:formatCode>
                <c:ptCount val="26"/>
                <c:pt idx="0">
                  <c:v>0</c:v>
                </c:pt>
                <c:pt idx="1">
                  <c:v>151.99799999999999</c:v>
                </c:pt>
                <c:pt idx="2">
                  <c:v>246.8775</c:v>
                </c:pt>
                <c:pt idx="3">
                  <c:v>339.49800000000005</c:v>
                </c:pt>
                <c:pt idx="4">
                  <c:v>400</c:v>
                </c:pt>
                <c:pt idx="5">
                  <c:v>459.50299999999993</c:v>
                </c:pt>
                <c:pt idx="6">
                  <c:v>518.00400000000002</c:v>
                </c:pt>
                <c:pt idx="7">
                  <c:v>575.49700000000007</c:v>
                </c:pt>
                <c:pt idx="8">
                  <c:v>632.00199999999995</c:v>
                </c:pt>
                <c:pt idx="9">
                  <c:v>687.495</c:v>
                </c:pt>
                <c:pt idx="10">
                  <c:v>742</c:v>
                </c:pt>
                <c:pt idx="11">
                  <c:v>795.49799999999993</c:v>
                </c:pt>
                <c:pt idx="12">
                  <c:v>847.99800000000005</c:v>
                </c:pt>
                <c:pt idx="13">
                  <c:v>890.49199999999996</c:v>
                </c:pt>
                <c:pt idx="14">
                  <c:v>930</c:v>
                </c:pt>
                <c:pt idx="15">
                  <c:v>966.50400000000002</c:v>
                </c:pt>
                <c:pt idx="16">
                  <c:v>1000.01</c:v>
                </c:pt>
                <c:pt idx="17">
                  <c:v>1030.492</c:v>
                </c:pt>
                <c:pt idx="18">
                  <c:v>1057.992</c:v>
                </c:pt>
                <c:pt idx="19">
                  <c:v>1082.5</c:v>
                </c:pt>
                <c:pt idx="20">
                  <c:v>1096.0039999999999</c:v>
                </c:pt>
                <c:pt idx="21">
                  <c:v>1105.4880000000001</c:v>
                </c:pt>
                <c:pt idx="22">
                  <c:v>1111.0120000000002</c:v>
                </c:pt>
                <c:pt idx="23">
                  <c:v>1112.4979999999998</c:v>
                </c:pt>
                <c:pt idx="24">
                  <c:v>1110</c:v>
                </c:pt>
                <c:pt idx="25">
                  <c:v>1092.9920000000002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Sheet1!$AC$33</c:f>
              <c:strCache>
                <c:ptCount val="1"/>
                <c:pt idx="0">
                  <c:v>PCCreg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Sheet1!$AB$34:$AB$50</c:f>
              <c:numCache>
                <c:formatCode>General</c:formatCode>
                <c:ptCount val="17"/>
                <c:pt idx="0">
                  <c:v>141.33333333333334</c:v>
                </c:pt>
                <c:pt idx="1">
                  <c:v>136.57142857142858</c:v>
                </c:pt>
                <c:pt idx="2">
                  <c:v>133</c:v>
                </c:pt>
                <c:pt idx="3">
                  <c:v>128</c:v>
                </c:pt>
                <c:pt idx="4">
                  <c:v>124.66666666666667</c:v>
                </c:pt>
                <c:pt idx="5">
                  <c:v>122.28571428571429</c:v>
                </c:pt>
                <c:pt idx="6">
                  <c:v>120.5</c:v>
                </c:pt>
                <c:pt idx="7">
                  <c:v>119.11111111111111</c:v>
                </c:pt>
                <c:pt idx="8">
                  <c:v>118</c:v>
                </c:pt>
                <c:pt idx="9">
                  <c:v>117.09090909090909</c:v>
                </c:pt>
                <c:pt idx="10">
                  <c:v>116.33333333333333</c:v>
                </c:pt>
                <c:pt idx="11">
                  <c:v>115.69230769230769</c:v>
                </c:pt>
                <c:pt idx="12">
                  <c:v>115.14285714285714</c:v>
                </c:pt>
                <c:pt idx="13">
                  <c:v>114.66666666666667</c:v>
                </c:pt>
                <c:pt idx="14">
                  <c:v>114.25</c:v>
                </c:pt>
                <c:pt idx="15">
                  <c:v>113.88235294117646</c:v>
                </c:pt>
                <c:pt idx="16">
                  <c:v>113.55555555555556</c:v>
                </c:pt>
              </c:numCache>
            </c:numRef>
          </c:xVal>
          <c:yVal>
            <c:numRef>
              <c:f>Sheet1!$AC$34:$AC$50</c:f>
              <c:numCache>
                <c:formatCode>General</c:formatCode>
                <c:ptCount val="17"/>
                <c:pt idx="0">
                  <c:v>160</c:v>
                </c:pt>
                <c:pt idx="1">
                  <c:v>219.99999999999989</c:v>
                </c:pt>
                <c:pt idx="2">
                  <c:v>280</c:v>
                </c:pt>
                <c:pt idx="3">
                  <c:v>400</c:v>
                </c:pt>
                <c:pt idx="4">
                  <c:v>520</c:v>
                </c:pt>
                <c:pt idx="5">
                  <c:v>640</c:v>
                </c:pt>
                <c:pt idx="6">
                  <c:v>760</c:v>
                </c:pt>
                <c:pt idx="7">
                  <c:v>880</c:v>
                </c:pt>
                <c:pt idx="8">
                  <c:v>1000</c:v>
                </c:pt>
                <c:pt idx="9">
                  <c:v>1120</c:v>
                </c:pt>
                <c:pt idx="10">
                  <c:v>1240</c:v>
                </c:pt>
                <c:pt idx="11">
                  <c:v>1360</c:v>
                </c:pt>
                <c:pt idx="12">
                  <c:v>1480</c:v>
                </c:pt>
                <c:pt idx="13">
                  <c:v>1600</c:v>
                </c:pt>
                <c:pt idx="14">
                  <c:v>1720</c:v>
                </c:pt>
                <c:pt idx="15">
                  <c:v>1840</c:v>
                </c:pt>
                <c:pt idx="16">
                  <c:v>1960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Sheet1!$AJ$33</c:f>
              <c:strCache>
                <c:ptCount val="1"/>
                <c:pt idx="0">
                  <c:v>PCCotonly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Sheet1!$AI$37:$AI$50</c:f>
              <c:numCache>
                <c:formatCode>General</c:formatCode>
                <c:ptCount val="14"/>
                <c:pt idx="0">
                  <c:v>128</c:v>
                </c:pt>
                <c:pt idx="1">
                  <c:v>121.33333333333333</c:v>
                </c:pt>
                <c:pt idx="2">
                  <c:v>116.57142857142857</c:v>
                </c:pt>
                <c:pt idx="3">
                  <c:v>113</c:v>
                </c:pt>
                <c:pt idx="4">
                  <c:v>110.22222222222223</c:v>
                </c:pt>
                <c:pt idx="5">
                  <c:v>108</c:v>
                </c:pt>
                <c:pt idx="6">
                  <c:v>104.66666666666667</c:v>
                </c:pt>
                <c:pt idx="7">
                  <c:v>102.28571428571429</c:v>
                </c:pt>
                <c:pt idx="8">
                  <c:v>100.5</c:v>
                </c:pt>
                <c:pt idx="9">
                  <c:v>99.111111111111114</c:v>
                </c:pt>
                <c:pt idx="10">
                  <c:v>98</c:v>
                </c:pt>
                <c:pt idx="11">
                  <c:v>97.090909090909093</c:v>
                </c:pt>
                <c:pt idx="12">
                  <c:v>96.333333333333329</c:v>
                </c:pt>
                <c:pt idx="13">
                  <c:v>95.692307692307693</c:v>
                </c:pt>
              </c:numCache>
            </c:numRef>
          </c:xVal>
          <c:yVal>
            <c:numRef>
              <c:f>Sheet1!$AJ$37:$AJ$50</c:f>
              <c:numCache>
                <c:formatCode>General</c:formatCode>
                <c:ptCount val="14"/>
                <c:pt idx="0">
                  <c:v>400</c:v>
                </c:pt>
                <c:pt idx="1">
                  <c:v>480</c:v>
                </c:pt>
                <c:pt idx="2">
                  <c:v>560</c:v>
                </c:pt>
                <c:pt idx="3">
                  <c:v>640</c:v>
                </c:pt>
                <c:pt idx="4">
                  <c:v>720</c:v>
                </c:pt>
                <c:pt idx="5">
                  <c:v>800</c:v>
                </c:pt>
                <c:pt idx="6">
                  <c:v>960</c:v>
                </c:pt>
                <c:pt idx="7">
                  <c:v>1120</c:v>
                </c:pt>
                <c:pt idx="8">
                  <c:v>1280</c:v>
                </c:pt>
                <c:pt idx="9">
                  <c:v>1440</c:v>
                </c:pt>
                <c:pt idx="10">
                  <c:v>1600</c:v>
                </c:pt>
                <c:pt idx="11">
                  <c:v>1760</c:v>
                </c:pt>
                <c:pt idx="12">
                  <c:v>1920</c:v>
                </c:pt>
                <c:pt idx="13">
                  <c:v>2080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Sheet1!$Q$49</c:f>
              <c:strCache>
                <c:ptCount val="1"/>
                <c:pt idx="0">
                  <c:v>sub effect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  <a:tailEnd type="triangle" w="med" len="sm"/>
            </a:ln>
          </c:spPr>
          <c:marker>
            <c:symbol val="none"/>
          </c:marker>
          <c:xVal>
            <c:numRef>
              <c:f>Sheet1!$P$50:$P$51</c:f>
              <c:numCache>
                <c:formatCode>General</c:formatCode>
                <c:ptCount val="2"/>
                <c:pt idx="0">
                  <c:v>128</c:v>
                </c:pt>
                <c:pt idx="1">
                  <c:v>94.188021535170066</c:v>
                </c:pt>
              </c:numCache>
            </c:numRef>
          </c:xVal>
          <c:yVal>
            <c:numRef>
              <c:f>Sheet1!$Q$50:$Q$51</c:f>
              <c:numCache>
                <c:formatCode>General</c:formatCode>
                <c:ptCount val="2"/>
                <c:pt idx="0">
                  <c:v>65</c:v>
                </c:pt>
                <c:pt idx="1">
                  <c:v>65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Sheet1!$S$49</c:f>
              <c:strCache>
                <c:ptCount val="1"/>
                <c:pt idx="0">
                  <c:v>inc effect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  <a:tailEnd type="triangle" w="med" len="sm"/>
            </a:ln>
          </c:spPr>
          <c:marker>
            <c:symbol val="none"/>
          </c:marker>
          <c:xVal>
            <c:numRef>
              <c:f>Sheet1!$R$50:$R$51</c:f>
              <c:numCache>
                <c:formatCode>General</c:formatCode>
                <c:ptCount val="2"/>
                <c:pt idx="0">
                  <c:v>94.188021535170066</c:v>
                </c:pt>
                <c:pt idx="1">
                  <c:v>114.66666666666667</c:v>
                </c:pt>
              </c:numCache>
            </c:numRef>
          </c:xVal>
          <c:yVal>
            <c:numRef>
              <c:f>Sheet1!$S$50:$S$51</c:f>
              <c:numCache>
                <c:formatCode>General</c:formatCode>
                <c:ptCount val="2"/>
                <c:pt idx="0">
                  <c:v>175</c:v>
                </c:pt>
                <c:pt idx="1">
                  <c:v>175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Sheet1!$U$49</c:f>
              <c:strCache>
                <c:ptCount val="1"/>
                <c:pt idx="0">
                  <c:v>inc effectOT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  <a:tailEnd type="triangle" w="med" len="sm"/>
            </a:ln>
          </c:spPr>
          <c:marker>
            <c:symbol val="none"/>
          </c:marker>
          <c:xVal>
            <c:numRef>
              <c:f>Sheet1!$T$50:$T$51</c:f>
              <c:numCache>
                <c:formatCode>General</c:formatCode>
                <c:ptCount val="2"/>
                <c:pt idx="0">
                  <c:v>94.188021535170066</c:v>
                </c:pt>
                <c:pt idx="1">
                  <c:v>101.33333333333333</c:v>
                </c:pt>
              </c:numCache>
            </c:numRef>
          </c:xVal>
          <c:yVal>
            <c:numRef>
              <c:f>Sheet1!$U$50:$U$51</c:f>
              <c:numCache>
                <c:formatCode>General</c:formatCode>
                <c:ptCount val="2"/>
                <c:pt idx="0">
                  <c:v>260</c:v>
                </c:pt>
                <c:pt idx="1">
                  <c:v>260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Sheet1!$Q$49</c:f>
              <c:strCache>
                <c:ptCount val="1"/>
                <c:pt idx="0">
                  <c:v>sub effect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Sheet1!$P$51</c:f>
              <c:numCache>
                <c:formatCode>General</c:formatCode>
                <c:ptCount val="1"/>
                <c:pt idx="0">
                  <c:v>94.188021535170066</c:v>
                </c:pt>
              </c:numCache>
            </c:numRef>
          </c:xVal>
          <c:yVal>
            <c:numRef>
              <c:f>Sheet1!$Q$51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Sheet1!$S$49</c:f>
              <c:strCache>
                <c:ptCount val="1"/>
                <c:pt idx="0">
                  <c:v>inc effect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xVal>
            <c:numRef>
              <c:f>Sheet1!$R$51</c:f>
              <c:numCache>
                <c:formatCode>General</c:formatCode>
                <c:ptCount val="1"/>
                <c:pt idx="0">
                  <c:v>114.66666666666667</c:v>
                </c:pt>
              </c:numCache>
            </c:numRef>
          </c:xVal>
          <c:yVal>
            <c:numRef>
              <c:f>Sheet1!$S$51</c:f>
              <c:numCache>
                <c:formatCode>General</c:formatCode>
                <c:ptCount val="1"/>
                <c:pt idx="0">
                  <c:v>175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Sheet1!$U$49</c:f>
              <c:strCache>
                <c:ptCount val="1"/>
                <c:pt idx="0">
                  <c:v>inc effectOT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  <a:tailEnd type="triangle" w="med" len="sm"/>
            </a:ln>
          </c:spPr>
          <c:marker>
            <c:symbol val="none"/>
          </c:marker>
          <c:xVal>
            <c:numRef>
              <c:f>Sheet1!$T$51</c:f>
              <c:numCache>
                <c:formatCode>General</c:formatCode>
                <c:ptCount val="1"/>
                <c:pt idx="0">
                  <c:v>101.33333333333333</c:v>
                </c:pt>
              </c:numCache>
            </c:numRef>
          </c:xVal>
          <c:yVal>
            <c:numRef>
              <c:f>Sheet1!$U$51</c:f>
              <c:numCache>
                <c:formatCode>General</c:formatCode>
                <c:ptCount val="1"/>
                <c:pt idx="0">
                  <c:v>260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Sheet1!$U$55</c:f>
              <c:strCache>
                <c:ptCount val="1"/>
                <c:pt idx="0">
                  <c:v>40hours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  <a:headEnd type="stealth"/>
              <a:tailEnd type="stealth"/>
            </a:ln>
          </c:spPr>
          <c:marker>
            <c:symbol val="none"/>
          </c:marker>
          <c:xVal>
            <c:numRef>
              <c:f>Sheet1!$T$56:$T$57</c:f>
              <c:numCache>
                <c:formatCode>General</c:formatCode>
                <c:ptCount val="2"/>
                <c:pt idx="0">
                  <c:v>128</c:v>
                </c:pt>
                <c:pt idx="1">
                  <c:v>168</c:v>
                </c:pt>
              </c:numCache>
            </c:numRef>
          </c:xVal>
          <c:yVal>
            <c:numRef>
              <c:f>Sheet1!$U$56:$U$57</c:f>
              <c:numCache>
                <c:formatCode>General</c:formatCode>
                <c:ptCount val="2"/>
                <c:pt idx="0">
                  <c:v>2100</c:v>
                </c:pt>
                <c:pt idx="1">
                  <c:v>2100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63392"/>
        <c:axId val="106764928"/>
      </c:scatterChart>
      <c:valAx>
        <c:axId val="106763392"/>
        <c:scaling>
          <c:orientation val="minMax"/>
          <c:max val="178"/>
          <c:min val="68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764928"/>
        <c:crosses val="autoZero"/>
        <c:crossBetween val="midCat"/>
        <c:majorUnit val="10"/>
      </c:valAx>
      <c:valAx>
        <c:axId val="106764928"/>
        <c:scaling>
          <c:orientation val="minMax"/>
          <c:max val="2220"/>
          <c:min val="0"/>
        </c:scaling>
        <c:delete val="0"/>
        <c:axPos val="l"/>
        <c:numFmt formatCode="#,##0" sourceLinked="0"/>
        <c:majorTickMark val="cross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763392"/>
        <c:crosses val="autoZero"/>
        <c:crossBetween val="midCat"/>
        <c:majorUnit val="2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908871348816"/>
          <c:y val="7.0080862533692723E-2"/>
          <c:w val="0.79570170986541588"/>
          <c:h val="0.83827493261455521"/>
        </c:manualLayout>
      </c:layout>
      <c:scatterChart>
        <c:scatterStyle val="smoothMarker"/>
        <c:varyColors val="0"/>
        <c:ser>
          <c:idx val="10"/>
          <c:order val="0"/>
          <c:tx>
            <c:strRef>
              <c:f>Sheet1!$U$45</c:f>
              <c:strCache>
                <c:ptCount val="1"/>
                <c:pt idx="0">
                  <c:v>FT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Sheet1!$T$46:$T$47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Sheet1!$U$46:$U$47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Sheet1!$Y$33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Sheet1!$X$34:$X$50</c:f>
              <c:numCache>
                <c:formatCode>General</c:formatCode>
                <c:ptCount val="17"/>
                <c:pt idx="0">
                  <c:v>26.666666666666657</c:v>
                </c:pt>
                <c:pt idx="1">
                  <c:v>31.428571428571416</c:v>
                </c:pt>
                <c:pt idx="2">
                  <c:v>35</c:v>
                </c:pt>
                <c:pt idx="3">
                  <c:v>40</c:v>
                </c:pt>
                <c:pt idx="4">
                  <c:v>43.333333333333329</c:v>
                </c:pt>
                <c:pt idx="5">
                  <c:v>45.714285714285708</c:v>
                </c:pt>
                <c:pt idx="6">
                  <c:v>47.5</c:v>
                </c:pt>
                <c:pt idx="7">
                  <c:v>48.888888888888886</c:v>
                </c:pt>
                <c:pt idx="8">
                  <c:v>50</c:v>
                </c:pt>
                <c:pt idx="9">
                  <c:v>50.909090909090907</c:v>
                </c:pt>
                <c:pt idx="10">
                  <c:v>51.666666666666671</c:v>
                </c:pt>
                <c:pt idx="11">
                  <c:v>52.307692307692307</c:v>
                </c:pt>
                <c:pt idx="12">
                  <c:v>52.857142857142861</c:v>
                </c:pt>
                <c:pt idx="13">
                  <c:v>53.333333333333329</c:v>
                </c:pt>
                <c:pt idx="14">
                  <c:v>53.75</c:v>
                </c:pt>
                <c:pt idx="15">
                  <c:v>54.117647058823536</c:v>
                </c:pt>
                <c:pt idx="16">
                  <c:v>54.444444444444443</c:v>
                </c:pt>
              </c:numCache>
            </c:numRef>
          </c:xVal>
          <c:yVal>
            <c:numRef>
              <c:f>Sheet1!$Y$34:$Y$50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Sheet1!$Y$52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Sheet1!$X$54:$X$78</c:f>
              <c:numCache>
                <c:formatCode>General</c:formatCode>
                <c:ptCount val="25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</c:numCache>
            </c:numRef>
          </c:xVal>
          <c:yVal>
            <c:numRef>
              <c:f>Sheet1!$Y$54:$Y$78</c:f>
              <c:numCache>
                <c:formatCode>General</c:formatCode>
                <c:ptCount val="25"/>
                <c:pt idx="0">
                  <c:v>6</c:v>
                </c:pt>
                <c:pt idx="1">
                  <c:v>7.5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32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Sheet1!$Q$49</c:f>
              <c:strCache>
                <c:ptCount val="1"/>
                <c:pt idx="0">
                  <c:v>sub effect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  <a:tailEnd type="triangle" w="med" len="sm"/>
            </a:ln>
          </c:spPr>
          <c:marker>
            <c:symbol val="diamond"/>
            <c:size val="4"/>
            <c:spPr>
              <a:noFill/>
              <a:ln w="6350"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xVal>
            <c:numRef>
              <c:f>Sheet1!$P$52:$P$53</c:f>
              <c:numCache>
                <c:formatCode>General</c:formatCode>
                <c:ptCount val="2"/>
                <c:pt idx="0">
                  <c:v>40</c:v>
                </c:pt>
                <c:pt idx="1">
                  <c:v>73.811978464829934</c:v>
                </c:pt>
              </c:numCache>
            </c:numRef>
          </c:xVal>
          <c:yVal>
            <c:numRef>
              <c:f>Sheet1!$Q$52:$Q$53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Sheet1!$S$49</c:f>
              <c:strCache>
                <c:ptCount val="1"/>
                <c:pt idx="0">
                  <c:v>inc effect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  <a:tailEnd type="triangle" w="med" len="sm"/>
            </a:ln>
          </c:spPr>
          <c:marker>
            <c:symbol val="none"/>
          </c:marker>
          <c:xVal>
            <c:numRef>
              <c:f>Sheet1!$R$52:$R$53</c:f>
              <c:numCache>
                <c:formatCode>General</c:formatCode>
                <c:ptCount val="2"/>
                <c:pt idx="0">
                  <c:v>73.811978464829934</c:v>
                </c:pt>
                <c:pt idx="1">
                  <c:v>53.333333333333329</c:v>
                </c:pt>
              </c:numCache>
            </c:numRef>
          </c:xVal>
          <c:yVal>
            <c:numRef>
              <c:f>Sheet1!$S$52:$S$53</c:f>
              <c:numCache>
                <c:formatCode>General</c:formatCode>
                <c:ptCount val="2"/>
                <c:pt idx="0">
                  <c:v>2.8</c:v>
                </c:pt>
                <c:pt idx="1">
                  <c:v>2.8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Sheet1!$U$49</c:f>
              <c:strCache>
                <c:ptCount val="1"/>
                <c:pt idx="0">
                  <c:v>inc effectOT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  <a:tailEnd type="triangle" w="med" len="sm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Sheet1!$T$52:$T$53</c:f>
              <c:numCache>
                <c:formatCode>General</c:formatCode>
                <c:ptCount val="2"/>
                <c:pt idx="0">
                  <c:v>73.811978464829934</c:v>
                </c:pt>
                <c:pt idx="1">
                  <c:v>66.666666666666671</c:v>
                </c:pt>
              </c:numCache>
            </c:numRef>
          </c:xVal>
          <c:yVal>
            <c:numRef>
              <c:f>Sheet1!$U$52:$U$53</c:f>
              <c:numCache>
                <c:formatCode>General</c:formatCode>
                <c:ptCount val="2"/>
                <c:pt idx="0">
                  <c:v>4.4000000000000004</c:v>
                </c:pt>
                <c:pt idx="1">
                  <c:v>4.4000000000000004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Sheet1!$AF$33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Sheet1!$AE$37:$AE$50</c:f>
              <c:numCache>
                <c:formatCode>General</c:formatCode>
                <c:ptCount val="14"/>
                <c:pt idx="0">
                  <c:v>40</c:v>
                </c:pt>
                <c:pt idx="1">
                  <c:v>46.666666666666671</c:v>
                </c:pt>
                <c:pt idx="2">
                  <c:v>51.428571428571431</c:v>
                </c:pt>
                <c:pt idx="3">
                  <c:v>55</c:v>
                </c:pt>
                <c:pt idx="4">
                  <c:v>57.777777777777771</c:v>
                </c:pt>
                <c:pt idx="5">
                  <c:v>60</c:v>
                </c:pt>
                <c:pt idx="6">
                  <c:v>63.333333333333329</c:v>
                </c:pt>
                <c:pt idx="7">
                  <c:v>65.714285714285708</c:v>
                </c:pt>
                <c:pt idx="8">
                  <c:v>67.5</c:v>
                </c:pt>
                <c:pt idx="9">
                  <c:v>68.888888888888886</c:v>
                </c:pt>
                <c:pt idx="10">
                  <c:v>70</c:v>
                </c:pt>
                <c:pt idx="11">
                  <c:v>70.909090909090907</c:v>
                </c:pt>
                <c:pt idx="12">
                  <c:v>71.666666666666671</c:v>
                </c:pt>
                <c:pt idx="13">
                  <c:v>72.307692307692307</c:v>
                </c:pt>
              </c:numCache>
            </c:numRef>
          </c:xVal>
          <c:yVal>
            <c:numRef>
              <c:f>Sheet1!$AF$37:$AF$50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Sheet1!$P$55</c:f>
              <c:strCache>
                <c:ptCount val="1"/>
                <c:pt idx="0">
                  <c:v>L,w0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Sheet1!$P$56:$P$58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40</c:v>
                </c:pt>
              </c:numCache>
            </c:numRef>
          </c:xVal>
          <c:yVal>
            <c:numRef>
              <c:f>Sheet1!$P$60:$P$62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Sheet1!$Q$55</c:f>
              <c:strCache>
                <c:ptCount val="1"/>
                <c:pt idx="0">
                  <c:v>L,wOT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Sheet1!$Q$56:$Q$58</c:f>
              <c:numCache>
                <c:formatCode>General</c:formatCode>
                <c:ptCount val="3"/>
                <c:pt idx="0">
                  <c:v>0</c:v>
                </c:pt>
                <c:pt idx="1">
                  <c:v>66.666666666666671</c:v>
                </c:pt>
                <c:pt idx="2">
                  <c:v>66.666666666666671</c:v>
                </c:pt>
              </c:numCache>
            </c:numRef>
          </c:xVal>
          <c:yVal>
            <c:numRef>
              <c:f>Sheet1!$Q$60:$Q$62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Sheet1!$R$55</c:f>
              <c:strCache>
                <c:ptCount val="1"/>
                <c:pt idx="0">
                  <c:v>L,w1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Sheet1!$R$56:$R$58</c:f>
              <c:numCache>
                <c:formatCode>General</c:formatCode>
                <c:ptCount val="3"/>
                <c:pt idx="0">
                  <c:v>0</c:v>
                </c:pt>
                <c:pt idx="1">
                  <c:v>53.333333333333329</c:v>
                </c:pt>
                <c:pt idx="2">
                  <c:v>53.333333333333329</c:v>
                </c:pt>
              </c:numCache>
            </c:numRef>
          </c:xVal>
          <c:yVal>
            <c:numRef>
              <c:f>Sheet1!$R$60:$R$62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Sheet1!$S$55</c:f>
              <c:strCache>
                <c:ptCount val="1"/>
                <c:pt idx="0">
                  <c:v>L,wSub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Sheet1!$S$56:$S$58</c:f>
              <c:numCache>
                <c:formatCode>General</c:formatCode>
                <c:ptCount val="3"/>
                <c:pt idx="0">
                  <c:v>0</c:v>
                </c:pt>
                <c:pt idx="1">
                  <c:v>73.811978464829934</c:v>
                </c:pt>
                <c:pt idx="2">
                  <c:v>73.811978464829934</c:v>
                </c:pt>
              </c:numCache>
            </c:numRef>
          </c:xVal>
          <c:yVal>
            <c:numRef>
              <c:f>Sheet1!$S$60:$S$62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Sheet1!$Q$49</c:f>
              <c:strCache>
                <c:ptCount val="1"/>
                <c:pt idx="0">
                  <c:v>sub effect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Sheet1!$P$53</c:f>
              <c:numCache>
                <c:formatCode>General</c:formatCode>
                <c:ptCount val="1"/>
                <c:pt idx="0">
                  <c:v>73.811978464829934</c:v>
                </c:pt>
              </c:numCache>
            </c:numRef>
          </c:xVal>
          <c:yVal>
            <c:numRef>
              <c:f>Sheet1!$Q$53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Sheet1!$S$49</c:f>
              <c:strCache>
                <c:ptCount val="1"/>
                <c:pt idx="0">
                  <c:v>inc effect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Sheet1!$R$53</c:f>
              <c:numCache>
                <c:formatCode>General</c:formatCode>
                <c:ptCount val="1"/>
                <c:pt idx="0">
                  <c:v>53.333333333333329</c:v>
                </c:pt>
              </c:numCache>
            </c:numRef>
          </c:xVal>
          <c:yVal>
            <c:numRef>
              <c:f>Sheet1!$S$53</c:f>
              <c:numCache>
                <c:formatCode>General</c:formatCode>
                <c:ptCount val="1"/>
                <c:pt idx="0">
                  <c:v>2.8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Sheet1!$U$49</c:f>
              <c:strCache>
                <c:ptCount val="1"/>
                <c:pt idx="0">
                  <c:v>inc effectOT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xVal>
            <c:numRef>
              <c:f>Sheet1!$T$53</c:f>
              <c:numCache>
                <c:formatCode>General</c:formatCode>
                <c:ptCount val="1"/>
                <c:pt idx="0">
                  <c:v>66.666666666666671</c:v>
                </c:pt>
              </c:numCache>
            </c:numRef>
          </c:xVal>
          <c:yVal>
            <c:numRef>
              <c:f>Sheet1!$U$53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55456"/>
        <c:axId val="107157376"/>
      </c:scatterChart>
      <c:valAx>
        <c:axId val="107155456"/>
        <c:scaling>
          <c:orientation val="minMax"/>
          <c:max val="80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157376"/>
        <c:crosses val="autoZero"/>
        <c:crossBetween val="midCat"/>
        <c:majorUnit val="10"/>
        <c:minorUnit val="2"/>
      </c:valAx>
      <c:valAx>
        <c:axId val="107157376"/>
        <c:scaling>
          <c:orientation val="minMax"/>
          <c:max val="32"/>
          <c:min val="0"/>
        </c:scaling>
        <c:delete val="0"/>
        <c:axPos val="l"/>
        <c:numFmt formatCode="\$#,##0" sourceLinked="0"/>
        <c:majorTickMark val="cross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155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5" fmlaLink="$A$53" horiz="1" inc="10" max="800" page="100" val="100"/>
</file>

<file path=xl/ctrlProps/ctrlProp10.xml><?xml version="1.0" encoding="utf-8"?>
<formControlPr xmlns="http://schemas.microsoft.com/office/spreadsheetml/2009/9/main" objectType="CheckBox" checked="Checked" fmlaLink="B$58" lockText="1"/>
</file>

<file path=xl/ctrlProps/ctrlProp11.xml><?xml version="1.0" encoding="utf-8"?>
<formControlPr xmlns="http://schemas.microsoft.com/office/spreadsheetml/2009/9/main" objectType="CheckBox" checked="Checked" fmlaLink="B$59" lockText="1"/>
</file>

<file path=xl/ctrlProps/ctrlProp12.xml><?xml version="1.0" encoding="utf-8"?>
<formControlPr xmlns="http://schemas.microsoft.com/office/spreadsheetml/2009/9/main" objectType="CheckBox" checked="Checked" fmlaLink="F$55" lockText="1"/>
</file>

<file path=xl/ctrlProps/ctrlProp13.xml><?xml version="1.0" encoding="utf-8"?>
<formControlPr xmlns="http://schemas.microsoft.com/office/spreadsheetml/2009/9/main" objectType="CheckBox" checked="Checked" fmlaLink="F$56" lockText="1"/>
</file>

<file path=xl/ctrlProps/ctrlProp14.xml><?xml version="1.0" encoding="utf-8"?>
<formControlPr xmlns="http://schemas.microsoft.com/office/spreadsheetml/2009/9/main" objectType="CheckBox" checked="Checked" fmlaLink="F$57" lockText="1"/>
</file>

<file path=xl/ctrlProps/ctrlProp15.xml><?xml version="1.0" encoding="utf-8"?>
<formControlPr xmlns="http://schemas.microsoft.com/office/spreadsheetml/2009/9/main" objectType="CheckBox" checked="Checked" fmlaLink="F$58" lockText="1"/>
</file>

<file path=xl/ctrlProps/ctrlProp16.xml><?xml version="1.0" encoding="utf-8"?>
<formControlPr xmlns="http://schemas.microsoft.com/office/spreadsheetml/2009/9/main" objectType="CheckBox" checked="Checked" fmlaLink="F$59" lockText="1"/>
</file>

<file path=xl/ctrlProps/ctrlProp17.xml><?xml version="1.0" encoding="utf-8"?>
<formControlPr xmlns="http://schemas.microsoft.com/office/spreadsheetml/2009/9/main" objectType="CheckBox" checked="Checked" fmlaLink="D$55" lockText="1"/>
</file>

<file path=xl/ctrlProps/ctrlProp18.xml><?xml version="1.0" encoding="utf-8"?>
<formControlPr xmlns="http://schemas.microsoft.com/office/spreadsheetml/2009/9/main" objectType="CheckBox" checked="Checked" fmlaLink="D$56" lockText="1"/>
</file>

<file path=xl/ctrlProps/ctrlProp19.xml><?xml version="1.0" encoding="utf-8"?>
<formControlPr xmlns="http://schemas.microsoft.com/office/spreadsheetml/2009/9/main" objectType="CheckBox" checked="Checked" fmlaLink="D$57" lockText="1"/>
</file>

<file path=xl/ctrlProps/ctrlProp2.xml><?xml version="1.0" encoding="utf-8"?>
<formControlPr xmlns="http://schemas.microsoft.com/office/spreadsheetml/2009/9/main" objectType="Scroll" dx="15" fmlaLink="$A$54" horiz="1" max="500" min="50" page="20" val="500"/>
</file>

<file path=xl/ctrlProps/ctrlProp20.xml><?xml version="1.0" encoding="utf-8"?>
<formControlPr xmlns="http://schemas.microsoft.com/office/spreadsheetml/2009/9/main" objectType="CheckBox" checked="Checked" fmlaLink="G$55" lockText="1"/>
</file>

<file path=xl/ctrlProps/ctrlProp21.xml><?xml version="1.0" encoding="utf-8"?>
<formControlPr xmlns="http://schemas.microsoft.com/office/spreadsheetml/2009/9/main" objectType="CheckBox" checked="Checked" fmlaLink="B$60" lockText="1"/>
</file>

<file path=xl/ctrlProps/ctrlProp22.xml><?xml version="1.0" encoding="utf-8"?>
<formControlPr xmlns="http://schemas.microsoft.com/office/spreadsheetml/2009/9/main" objectType="CheckBox" checked="Checked" fmlaLink="F$60" lockText="1"/>
</file>

<file path=xl/ctrlProps/ctrlProp23.xml><?xml version="1.0" encoding="utf-8"?>
<formControlPr xmlns="http://schemas.microsoft.com/office/spreadsheetml/2009/9/main" objectType="CheckBox" checked="Checked" fmlaLink="D$60" lockText="1"/>
</file>

<file path=xl/ctrlProps/ctrlProp24.xml><?xml version="1.0" encoding="utf-8"?>
<formControlPr xmlns="http://schemas.microsoft.com/office/spreadsheetml/2009/9/main" objectType="CheckBox" checked="Checked" fmlaLink="G$57" lockText="1"/>
</file>

<file path=xl/ctrlProps/ctrlProp25.xml><?xml version="1.0" encoding="utf-8"?>
<formControlPr xmlns="http://schemas.microsoft.com/office/spreadsheetml/2009/9/main" objectType="CheckBox" checked="Checked" fmlaLink="G$58" lockText="1"/>
</file>

<file path=xl/ctrlProps/ctrlProp26.xml><?xml version="1.0" encoding="utf-8"?>
<formControlPr xmlns="http://schemas.microsoft.com/office/spreadsheetml/2009/9/main" objectType="CheckBox" fmlaLink="G$59" lockText="1"/>
</file>

<file path=xl/ctrlProps/ctrlProp27.xml><?xml version="1.0" encoding="utf-8"?>
<formControlPr xmlns="http://schemas.microsoft.com/office/spreadsheetml/2009/9/main" objectType="CheckBox" checked="Checked" fmlaLink="G$56" lockText="1"/>
</file>

<file path=xl/ctrlProps/ctrlProp3.xml><?xml version="1.0" encoding="utf-8"?>
<formControlPr xmlns="http://schemas.microsoft.com/office/spreadsheetml/2009/9/main" objectType="CheckBox" checked="Checked" fmlaLink="A$55" lockText="1"/>
</file>

<file path=xl/ctrlProps/ctrlProp4.xml><?xml version="1.0" encoding="utf-8"?>
<formControlPr xmlns="http://schemas.microsoft.com/office/spreadsheetml/2009/9/main" objectType="CheckBox" checked="Checked" fmlaLink="A$56" lockText="1"/>
</file>

<file path=xl/ctrlProps/ctrlProp5.xml><?xml version="1.0" encoding="utf-8"?>
<formControlPr xmlns="http://schemas.microsoft.com/office/spreadsheetml/2009/9/main" objectType="CheckBox" checked="Checked" fmlaLink="A$57" lockText="1"/>
</file>

<file path=xl/ctrlProps/ctrlProp6.xml><?xml version="1.0" encoding="utf-8"?>
<formControlPr xmlns="http://schemas.microsoft.com/office/spreadsheetml/2009/9/main" objectType="CheckBox" checked="Checked" fmlaLink="A$58" lockText="1"/>
</file>

<file path=xl/ctrlProps/ctrlProp7.xml><?xml version="1.0" encoding="utf-8"?>
<formControlPr xmlns="http://schemas.microsoft.com/office/spreadsheetml/2009/9/main" objectType="CheckBox" checked="Checked" fmlaLink="B$55" lockText="1"/>
</file>

<file path=xl/ctrlProps/ctrlProp8.xml><?xml version="1.0" encoding="utf-8"?>
<formControlPr xmlns="http://schemas.microsoft.com/office/spreadsheetml/2009/9/main" objectType="CheckBox" checked="Checked" fmlaLink="B$56" lockText="1"/>
</file>

<file path=xl/ctrlProps/ctrlProp9.xml><?xml version="1.0" encoding="utf-8"?>
<formControlPr xmlns="http://schemas.microsoft.com/office/spreadsheetml/2009/9/main" objectType="CheckBox" checked="Checked" fmlaLink="B$57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6</xdr:col>
      <xdr:colOff>666750</xdr:colOff>
      <xdr:row>18</xdr:row>
      <xdr:rowOff>190500</xdr:rowOff>
    </xdr:to>
    <xdr:graphicFrame macro="">
      <xdr:nvGraphicFramePr>
        <xdr:cNvPr id="5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18</xdr:col>
          <xdr:colOff>487680</xdr:colOff>
          <xdr:row>23</xdr:row>
          <xdr:rowOff>182880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21</xdr:row>
          <xdr:rowOff>0</xdr:rowOff>
        </xdr:from>
        <xdr:to>
          <xdr:col>18</xdr:col>
          <xdr:colOff>441960</xdr:colOff>
          <xdr:row>21</xdr:row>
          <xdr:rowOff>175260</xdr:rowOff>
        </xdr:to>
        <xdr:sp macro="" textlink="">
          <xdr:nvSpPr>
            <xdr:cNvPr id="5040" name="Scroll Bar 2992" hidden="1">
              <a:extLst>
                <a:ext uri="{63B3BB69-23CF-44E3-9099-C40C66FF867C}">
                  <a14:compatExt spid="_x0000_s5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247650</xdr:colOff>
      <xdr:row>2</xdr:row>
      <xdr:rowOff>9525</xdr:rowOff>
    </xdr:from>
    <xdr:to>
      <xdr:col>6</xdr:col>
      <xdr:colOff>257175</xdr:colOff>
      <xdr:row>2</xdr:row>
      <xdr:rowOff>9525</xdr:rowOff>
    </xdr:to>
    <xdr:sp macro="" textlink="">
      <xdr:nvSpPr>
        <xdr:cNvPr id="5471" name="Line 3363"/>
        <xdr:cNvSpPr>
          <a:spLocks noChangeShapeType="1"/>
        </xdr:cNvSpPr>
      </xdr:nvSpPr>
      <xdr:spPr bwMode="auto">
        <a:xfrm>
          <a:off x="1962150" y="409575"/>
          <a:ext cx="1038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 type="triangle" w="sm" len="med"/>
              <a:tailEnd type="triangle" w="sm" len="med"/>
            </a14:hiddenLine>
          </a:ext>
        </a:extLst>
      </xdr:spPr>
    </xdr:sp>
    <xdr:clientData/>
  </xdr:twoCellAnchor>
  <xdr:twoCellAnchor>
    <xdr:from>
      <xdr:col>7</xdr:col>
      <xdr:colOff>95250</xdr:colOff>
      <xdr:row>1</xdr:row>
      <xdr:rowOff>0</xdr:rowOff>
    </xdr:from>
    <xdr:to>
      <xdr:col>14</xdr:col>
      <xdr:colOff>9525</xdr:colOff>
      <xdr:row>18</xdr:row>
      <xdr:rowOff>142875</xdr:rowOff>
    </xdr:to>
    <xdr:graphicFrame macro="">
      <xdr:nvGraphicFramePr>
        <xdr:cNvPr id="5472" name="Chart 33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533400</xdr:colOff>
      <xdr:row>22</xdr:row>
      <xdr:rowOff>142875</xdr:rowOff>
    </xdr:from>
    <xdr:to>
      <xdr:col>16</xdr:col>
      <xdr:colOff>533400</xdr:colOff>
      <xdr:row>24</xdr:row>
      <xdr:rowOff>28575</xdr:rowOff>
    </xdr:to>
    <xdr:sp macro="" textlink="">
      <xdr:nvSpPr>
        <xdr:cNvPr id="5473" name="Line 3383"/>
        <xdr:cNvSpPr>
          <a:spLocks noChangeShapeType="1"/>
        </xdr:cNvSpPr>
      </xdr:nvSpPr>
      <xdr:spPr bwMode="auto">
        <a:xfrm>
          <a:off x="7791450" y="448627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</xdr:row>
          <xdr:rowOff>0</xdr:rowOff>
        </xdr:from>
        <xdr:to>
          <xdr:col>14</xdr:col>
          <xdr:colOff>388620</xdr:colOff>
          <xdr:row>3</xdr:row>
          <xdr:rowOff>7620</xdr:rowOff>
        </xdr:to>
        <xdr:sp macro="" textlink="">
          <xdr:nvSpPr>
            <xdr:cNvPr id="5432" name="Check Box 3384" hidden="1">
              <a:extLst>
                <a:ext uri="{63B3BB69-23CF-44E3-9099-C40C66FF867C}">
                  <a14:compatExt spid="_x0000_s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</xdr:row>
          <xdr:rowOff>0</xdr:rowOff>
        </xdr:from>
        <xdr:to>
          <xdr:col>14</xdr:col>
          <xdr:colOff>388620</xdr:colOff>
          <xdr:row>4</xdr:row>
          <xdr:rowOff>30480</xdr:rowOff>
        </xdr:to>
        <xdr:sp macro="" textlink="">
          <xdr:nvSpPr>
            <xdr:cNvPr id="5433" name="Check Box 3385" hidden="1">
              <a:extLst>
                <a:ext uri="{63B3BB69-23CF-44E3-9099-C40C66FF867C}">
                  <a14:compatExt spid="_x0000_s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4</xdr:row>
          <xdr:rowOff>0</xdr:rowOff>
        </xdr:from>
        <xdr:to>
          <xdr:col>14</xdr:col>
          <xdr:colOff>388620</xdr:colOff>
          <xdr:row>5</xdr:row>
          <xdr:rowOff>30480</xdr:rowOff>
        </xdr:to>
        <xdr:sp macro="" textlink="">
          <xdr:nvSpPr>
            <xdr:cNvPr id="5434" name="Check Box 3386" hidden="1">
              <a:extLst>
                <a:ext uri="{63B3BB69-23CF-44E3-9099-C40C66FF867C}">
                  <a14:compatExt spid="_x0000_s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4</xdr:row>
          <xdr:rowOff>182880</xdr:rowOff>
        </xdr:from>
        <xdr:to>
          <xdr:col>14</xdr:col>
          <xdr:colOff>388620</xdr:colOff>
          <xdr:row>6</xdr:row>
          <xdr:rowOff>22860</xdr:rowOff>
        </xdr:to>
        <xdr:sp macro="" textlink="">
          <xdr:nvSpPr>
            <xdr:cNvPr id="5435" name="Check Box 3387" hidden="1">
              <a:extLst>
                <a:ext uri="{63B3BB69-23CF-44E3-9099-C40C66FF867C}">
                  <a14:compatExt spid="_x0000_s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2</xdr:row>
          <xdr:rowOff>0</xdr:rowOff>
        </xdr:from>
        <xdr:to>
          <xdr:col>15</xdr:col>
          <xdr:colOff>388620</xdr:colOff>
          <xdr:row>3</xdr:row>
          <xdr:rowOff>7620</xdr:rowOff>
        </xdr:to>
        <xdr:sp macro="" textlink="">
          <xdr:nvSpPr>
            <xdr:cNvPr id="5436" name="Check Box 3388" hidden="1">
              <a:extLst>
                <a:ext uri="{63B3BB69-23CF-44E3-9099-C40C66FF867C}">
                  <a14:compatExt spid="_x0000_s5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3</xdr:row>
          <xdr:rowOff>0</xdr:rowOff>
        </xdr:from>
        <xdr:to>
          <xdr:col>15</xdr:col>
          <xdr:colOff>388620</xdr:colOff>
          <xdr:row>4</xdr:row>
          <xdr:rowOff>30480</xdr:rowOff>
        </xdr:to>
        <xdr:sp macro="" textlink="">
          <xdr:nvSpPr>
            <xdr:cNvPr id="5437" name="Check Box 3389" hidden="1">
              <a:extLst>
                <a:ext uri="{63B3BB69-23CF-44E3-9099-C40C66FF867C}">
                  <a14:compatExt spid="_x0000_s5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4</xdr:row>
          <xdr:rowOff>0</xdr:rowOff>
        </xdr:from>
        <xdr:to>
          <xdr:col>15</xdr:col>
          <xdr:colOff>388620</xdr:colOff>
          <xdr:row>5</xdr:row>
          <xdr:rowOff>30480</xdr:rowOff>
        </xdr:to>
        <xdr:sp macro="" textlink="">
          <xdr:nvSpPr>
            <xdr:cNvPr id="5438" name="Check Box 3390" hidden="1">
              <a:extLst>
                <a:ext uri="{63B3BB69-23CF-44E3-9099-C40C66FF867C}">
                  <a14:compatExt spid="_x0000_s5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4</xdr:row>
          <xdr:rowOff>182880</xdr:rowOff>
        </xdr:from>
        <xdr:to>
          <xdr:col>15</xdr:col>
          <xdr:colOff>388620</xdr:colOff>
          <xdr:row>6</xdr:row>
          <xdr:rowOff>22860</xdr:rowOff>
        </xdr:to>
        <xdr:sp macro="" textlink="">
          <xdr:nvSpPr>
            <xdr:cNvPr id="5439" name="Check Box 3391" hidden="1">
              <a:extLst>
                <a:ext uri="{63B3BB69-23CF-44E3-9099-C40C66FF867C}">
                  <a14:compatExt spid="_x0000_s5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6</xdr:row>
          <xdr:rowOff>0</xdr:rowOff>
        </xdr:from>
        <xdr:to>
          <xdr:col>15</xdr:col>
          <xdr:colOff>388620</xdr:colOff>
          <xdr:row>7</xdr:row>
          <xdr:rowOff>30480</xdr:rowOff>
        </xdr:to>
        <xdr:sp macro="" textlink="">
          <xdr:nvSpPr>
            <xdr:cNvPr id="5440" name="Check Box 3392" hidden="1">
              <a:extLst>
                <a:ext uri="{63B3BB69-23CF-44E3-9099-C40C66FF867C}">
                  <a14:compatExt spid="_x0000_s5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2</xdr:row>
          <xdr:rowOff>0</xdr:rowOff>
        </xdr:from>
        <xdr:to>
          <xdr:col>17</xdr:col>
          <xdr:colOff>388620</xdr:colOff>
          <xdr:row>3</xdr:row>
          <xdr:rowOff>7620</xdr:rowOff>
        </xdr:to>
        <xdr:sp macro="" textlink="">
          <xdr:nvSpPr>
            <xdr:cNvPr id="5441" name="Check Box 3393" hidden="1">
              <a:extLst>
                <a:ext uri="{63B3BB69-23CF-44E3-9099-C40C66FF867C}">
                  <a14:compatExt spid="_x0000_s5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3</xdr:row>
          <xdr:rowOff>0</xdr:rowOff>
        </xdr:from>
        <xdr:to>
          <xdr:col>17</xdr:col>
          <xdr:colOff>388620</xdr:colOff>
          <xdr:row>4</xdr:row>
          <xdr:rowOff>30480</xdr:rowOff>
        </xdr:to>
        <xdr:sp macro="" textlink="">
          <xdr:nvSpPr>
            <xdr:cNvPr id="5442" name="Check Box 3394" hidden="1">
              <a:extLst>
                <a:ext uri="{63B3BB69-23CF-44E3-9099-C40C66FF867C}">
                  <a14:compatExt spid="_x0000_s5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4</xdr:row>
          <xdr:rowOff>0</xdr:rowOff>
        </xdr:from>
        <xdr:to>
          <xdr:col>17</xdr:col>
          <xdr:colOff>388620</xdr:colOff>
          <xdr:row>5</xdr:row>
          <xdr:rowOff>30480</xdr:rowOff>
        </xdr:to>
        <xdr:sp macro="" textlink="">
          <xdr:nvSpPr>
            <xdr:cNvPr id="5443" name="Check Box 3395" hidden="1">
              <a:extLst>
                <a:ext uri="{63B3BB69-23CF-44E3-9099-C40C66FF867C}">
                  <a14:compatExt spid="_x0000_s5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5</xdr:row>
          <xdr:rowOff>0</xdr:rowOff>
        </xdr:from>
        <xdr:to>
          <xdr:col>17</xdr:col>
          <xdr:colOff>388620</xdr:colOff>
          <xdr:row>6</xdr:row>
          <xdr:rowOff>38100</xdr:rowOff>
        </xdr:to>
        <xdr:sp macro="" textlink="">
          <xdr:nvSpPr>
            <xdr:cNvPr id="5444" name="Check Box 3396" hidden="1">
              <a:extLst>
                <a:ext uri="{63B3BB69-23CF-44E3-9099-C40C66FF867C}">
                  <a14:compatExt spid="_x0000_s5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6</xdr:row>
          <xdr:rowOff>0</xdr:rowOff>
        </xdr:from>
        <xdr:to>
          <xdr:col>17</xdr:col>
          <xdr:colOff>388620</xdr:colOff>
          <xdr:row>7</xdr:row>
          <xdr:rowOff>30480</xdr:rowOff>
        </xdr:to>
        <xdr:sp macro="" textlink="">
          <xdr:nvSpPr>
            <xdr:cNvPr id="5445" name="Check Box 3397" hidden="1">
              <a:extLst>
                <a:ext uri="{63B3BB69-23CF-44E3-9099-C40C66FF867C}">
                  <a14:compatExt spid="_x0000_s5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2</xdr:row>
          <xdr:rowOff>0</xdr:rowOff>
        </xdr:from>
        <xdr:to>
          <xdr:col>16</xdr:col>
          <xdr:colOff>388620</xdr:colOff>
          <xdr:row>3</xdr:row>
          <xdr:rowOff>7620</xdr:rowOff>
        </xdr:to>
        <xdr:sp macro="" textlink="">
          <xdr:nvSpPr>
            <xdr:cNvPr id="5446" name="Check Box 3398" hidden="1">
              <a:extLst>
                <a:ext uri="{63B3BB69-23CF-44E3-9099-C40C66FF867C}">
                  <a14:compatExt spid="_x0000_s5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3</xdr:row>
          <xdr:rowOff>0</xdr:rowOff>
        </xdr:from>
        <xdr:to>
          <xdr:col>16</xdr:col>
          <xdr:colOff>388620</xdr:colOff>
          <xdr:row>4</xdr:row>
          <xdr:rowOff>30480</xdr:rowOff>
        </xdr:to>
        <xdr:sp macro="" textlink="">
          <xdr:nvSpPr>
            <xdr:cNvPr id="5447" name="Check Box 3399" hidden="1">
              <a:extLst>
                <a:ext uri="{63B3BB69-23CF-44E3-9099-C40C66FF867C}">
                  <a14:compatExt spid="_x0000_s5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4</xdr:row>
          <xdr:rowOff>0</xdr:rowOff>
        </xdr:from>
        <xdr:to>
          <xdr:col>16</xdr:col>
          <xdr:colOff>388620</xdr:colOff>
          <xdr:row>5</xdr:row>
          <xdr:rowOff>30480</xdr:rowOff>
        </xdr:to>
        <xdr:sp macro="" textlink="">
          <xdr:nvSpPr>
            <xdr:cNvPr id="5448" name="Check Box 3400" hidden="1">
              <a:extLst>
                <a:ext uri="{63B3BB69-23CF-44E3-9099-C40C66FF867C}">
                  <a14:compatExt spid="_x0000_s5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9</xdr:row>
          <xdr:rowOff>0</xdr:rowOff>
        </xdr:from>
        <xdr:to>
          <xdr:col>15</xdr:col>
          <xdr:colOff>99060</xdr:colOff>
          <xdr:row>10</xdr:row>
          <xdr:rowOff>30480</xdr:rowOff>
        </xdr:to>
        <xdr:sp macro="" textlink="">
          <xdr:nvSpPr>
            <xdr:cNvPr id="5449" name="Check Box 3401" hidden="1">
              <a:extLst>
                <a:ext uri="{63B3BB69-23CF-44E3-9099-C40C66FF867C}">
                  <a14:compatExt spid="_x0000_s5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8</xdr:row>
          <xdr:rowOff>0</xdr:rowOff>
        </xdr:from>
        <xdr:to>
          <xdr:col>15</xdr:col>
          <xdr:colOff>388620</xdr:colOff>
          <xdr:row>9</xdr:row>
          <xdr:rowOff>0</xdr:rowOff>
        </xdr:to>
        <xdr:sp macro="" textlink="">
          <xdr:nvSpPr>
            <xdr:cNvPr id="5450" name="Check Box 3402" hidden="1">
              <a:extLst>
                <a:ext uri="{63B3BB69-23CF-44E3-9099-C40C66FF867C}">
                  <a14:compatExt spid="_x0000_s5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8</xdr:row>
          <xdr:rowOff>0</xdr:rowOff>
        </xdr:from>
        <xdr:to>
          <xdr:col>17</xdr:col>
          <xdr:colOff>388620</xdr:colOff>
          <xdr:row>9</xdr:row>
          <xdr:rowOff>0</xdr:rowOff>
        </xdr:to>
        <xdr:sp macro="" textlink="">
          <xdr:nvSpPr>
            <xdr:cNvPr id="5451" name="Check Box 3403" hidden="1">
              <a:extLst>
                <a:ext uri="{63B3BB69-23CF-44E3-9099-C40C66FF867C}">
                  <a14:compatExt spid="_x0000_s5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8</xdr:row>
          <xdr:rowOff>0</xdr:rowOff>
        </xdr:from>
        <xdr:to>
          <xdr:col>16</xdr:col>
          <xdr:colOff>388620</xdr:colOff>
          <xdr:row>9</xdr:row>
          <xdr:rowOff>0</xdr:rowOff>
        </xdr:to>
        <xdr:sp macro="" textlink="">
          <xdr:nvSpPr>
            <xdr:cNvPr id="5452" name="Check Box 3404" hidden="1">
              <a:extLst>
                <a:ext uri="{63B3BB69-23CF-44E3-9099-C40C66FF867C}">
                  <a14:compatExt spid="_x0000_s5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11</xdr:row>
          <xdr:rowOff>0</xdr:rowOff>
        </xdr:from>
        <xdr:to>
          <xdr:col>15</xdr:col>
          <xdr:colOff>99060</xdr:colOff>
          <xdr:row>12</xdr:row>
          <xdr:rowOff>30480</xdr:rowOff>
        </xdr:to>
        <xdr:sp macro="" textlink="">
          <xdr:nvSpPr>
            <xdr:cNvPr id="5453" name="Check Box 3405" hidden="1">
              <a:extLst>
                <a:ext uri="{63B3BB69-23CF-44E3-9099-C40C66FF867C}">
                  <a14:compatExt spid="_x0000_s5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12</xdr:row>
          <xdr:rowOff>0</xdr:rowOff>
        </xdr:from>
        <xdr:to>
          <xdr:col>15</xdr:col>
          <xdr:colOff>99060</xdr:colOff>
          <xdr:row>13</xdr:row>
          <xdr:rowOff>30480</xdr:rowOff>
        </xdr:to>
        <xdr:sp macro="" textlink="">
          <xdr:nvSpPr>
            <xdr:cNvPr id="5454" name="Check Box 3406" hidden="1">
              <a:extLst>
                <a:ext uri="{63B3BB69-23CF-44E3-9099-C40C66FF867C}">
                  <a14:compatExt spid="_x0000_s5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13</xdr:row>
          <xdr:rowOff>0</xdr:rowOff>
        </xdr:from>
        <xdr:to>
          <xdr:col>15</xdr:col>
          <xdr:colOff>99060</xdr:colOff>
          <xdr:row>13</xdr:row>
          <xdr:rowOff>228600</xdr:rowOff>
        </xdr:to>
        <xdr:sp macro="" textlink="">
          <xdr:nvSpPr>
            <xdr:cNvPr id="5455" name="Check Box 3407" hidden="1">
              <a:extLst>
                <a:ext uri="{63B3BB69-23CF-44E3-9099-C40C66FF867C}">
                  <a14:compatExt spid="_x0000_s5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335280</xdr:colOff>
          <xdr:row>10</xdr:row>
          <xdr:rowOff>0</xdr:rowOff>
        </xdr:from>
        <xdr:to>
          <xdr:col>15</xdr:col>
          <xdr:colOff>99060</xdr:colOff>
          <xdr:row>11</xdr:row>
          <xdr:rowOff>0</xdr:rowOff>
        </xdr:to>
        <xdr:sp macro="" textlink="">
          <xdr:nvSpPr>
            <xdr:cNvPr id="5456" name="Check Box 3408" hidden="1">
              <a:extLst>
                <a:ext uri="{63B3BB69-23CF-44E3-9099-C40C66FF867C}">
                  <a14:compatExt spid="_x0000_s5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7"/>
  <sheetViews>
    <sheetView showGridLines="0" tabSelected="1" workbookViewId="0">
      <selection activeCell="S17" sqref="S17"/>
    </sheetView>
  </sheetViews>
  <sheetFormatPr defaultColWidth="9" defaultRowHeight="15.6" x14ac:dyDescent="0.3"/>
  <cols>
    <col min="1" max="1" width="9" style="11"/>
    <col min="2" max="2" width="8.3984375" style="11" customWidth="1"/>
    <col min="3" max="3" width="5.09765625" style="11" customWidth="1"/>
    <col min="4" max="4" width="3.3984375" style="11" customWidth="1"/>
    <col min="5" max="5" width="5.59765625" style="11" customWidth="1"/>
    <col min="6" max="6" width="4.5" style="11" customWidth="1"/>
    <col min="7" max="8" width="9" style="11"/>
    <col min="9" max="14" width="4.5" style="11" customWidth="1"/>
    <col min="15" max="19" width="7.09765625" style="11" customWidth="1"/>
    <col min="20" max="16384" width="9" style="11"/>
  </cols>
  <sheetData>
    <row r="1" spans="1:23" x14ac:dyDescent="0.3">
      <c r="A1" s="10" t="s">
        <v>98</v>
      </c>
      <c r="D1" s="10" t="str">
        <f>IF($G$57,"    FT"," ")</f>
        <v xml:space="preserve">    FT</v>
      </c>
      <c r="G1" s="11" t="str">
        <f>IF(G58,"  24x7"," ")</f>
        <v xml:space="preserve">  24x7</v>
      </c>
      <c r="K1" s="12" t="s">
        <v>109</v>
      </c>
    </row>
    <row r="2" spans="1:23" x14ac:dyDescent="0.3">
      <c r="A2" s="13" t="str">
        <f>IF(AND($F$57,$A$54=500)," G   "," ")</f>
        <v xml:space="preserve"> G   </v>
      </c>
      <c r="E2" s="77" t="str">
        <f>IF(AND(G57,G58),"40 hours "," ")</f>
        <v xml:space="preserve">40 hours </v>
      </c>
      <c r="F2" s="77"/>
      <c r="H2" s="11" t="s">
        <v>70</v>
      </c>
      <c r="J2" s="1" t="str">
        <f>IF(AND($A$53=700,$G$55,$A$51=0),"LS"," ")</f>
        <v xml:space="preserve"> </v>
      </c>
      <c r="K2" s="10" t="str">
        <f>IF($G$57,"  FT"," ")</f>
        <v xml:space="preserve">  FT</v>
      </c>
      <c r="L2" s="2" t="str">
        <f>IF(OR(AND($A$51=0,$F$55,$G$56,$A$53=500,$A$54=500),AND($A$53=700,$G$56,$A$51=0))," LS ot",IF(AND($A$53=100,$G$55,$A$51=0),"    LS"," "))</f>
        <v xml:space="preserve">    LS</v>
      </c>
      <c r="M2" s="1" t="str">
        <f>IF(AND($A$53=100,$G$56,$A$51=0),"LS ot"," ")</f>
        <v>LS ot</v>
      </c>
      <c r="O2" s="11" t="s">
        <v>20</v>
      </c>
      <c r="P2" s="11" t="s">
        <v>73</v>
      </c>
      <c r="Q2" s="11" t="s">
        <v>21</v>
      </c>
      <c r="R2" s="11" t="s">
        <v>74</v>
      </c>
      <c r="S2" s="10"/>
      <c r="W2" s="3"/>
    </row>
    <row r="3" spans="1:23" ht="17.25" customHeight="1" x14ac:dyDescent="0.3">
      <c r="A3" s="4" t="str">
        <f>IF(AND($B$57,$A$54=300)," G    "," ")</f>
        <v xml:space="preserve"> </v>
      </c>
      <c r="C3" s="1" t="str">
        <f>IF(AND($B$59,$A$53=100,$A$51=0),"PCC"," ")</f>
        <v>PCC</v>
      </c>
      <c r="K3" s="5" t="str">
        <f>IF(AND($A$51=0,$A$53=500,$G$55),"LS     ",IF(AND($A$51=1,$G$55)," LS           "," "))</f>
        <v xml:space="preserve"> </v>
      </c>
      <c r="L3" s="6" t="str">
        <f>IF(AND($A$51=0,$F$55,$D$55,$A$53=700,$A$54=500),"S      ",IF(AND($A$51=0,$D$55,$A$53=700,$A$54=500),"S      "," "))</f>
        <v xml:space="preserve"> </v>
      </c>
      <c r="M3" s="6" t="str">
        <f>IF(AND($A$51=0,$F$55,$A$53=100,$A$54=500),"V     "," ")</f>
        <v xml:space="preserve">V     </v>
      </c>
      <c r="N3" s="63"/>
      <c r="S3" s="11" t="s">
        <v>102</v>
      </c>
    </row>
    <row r="4" spans="1:23" x14ac:dyDescent="0.3">
      <c r="A4" s="89" t="str">
        <f>IF(AND($A$54=260,$G$59),"F   "," ")</f>
        <v xml:space="preserve"> </v>
      </c>
      <c r="B4" s="7" t="str">
        <f>IF(AND($F$59,$A$53=100,$A$51=0),"       PCC  ot"," ")</f>
        <v xml:space="preserve">       PCC  ot</v>
      </c>
      <c r="K4" s="8" t="str">
        <f>IF(AND($G$59,$A$54=500),"T",IF(AND($A$51=0,$B$55,$F$44=0,$A$53=700,$A$54=500),"  T",IF(AND($A$51=0,$G$55,$A$53=500,$A$54=500),"  T",IF(AND($A$51=0,$B$55,$F$44=1,$A$53=700,$A$54=500,$D$55),"  T    V",IF(AND($A$51=0,$B$55,$F$44=1,$A$53=700,$A$54=500,$D$55=FALSE),"  T"," ")))))</f>
        <v xml:space="preserve"> </v>
      </c>
      <c r="L4" s="9" t="str">
        <f>IF(AND($A$51=0,$B$55,$A$54=500,$A$53=100),"T  ",IF(AND($A$51=0,$F$55,$G$56,$A$53=500,$A$54=500),"V  ",IF(AND($A$51=0,$B$55,$F$44=1,$A$53=700,$A$54=500,$D$55=FALSE),"V   "," ")))</f>
        <v xml:space="preserve">T  </v>
      </c>
      <c r="M4" s="14" t="str">
        <f>IF(AND($A$51=0,A53=500,A54=500,D55),"S        "," ")</f>
        <v xml:space="preserve"> </v>
      </c>
      <c r="N4" s="9" t="str">
        <f>IF(AND($G$59,$D$55,$A$54=500),"S  ",IF(AND($A$51=0,$D$55,$A$54=500,$A$53=100),"S  "," "))</f>
        <v xml:space="preserve">S  </v>
      </c>
      <c r="S4" s="11" t="s">
        <v>103</v>
      </c>
    </row>
    <row r="5" spans="1:23" x14ac:dyDescent="0.3">
      <c r="A5" s="89"/>
      <c r="K5" s="63"/>
      <c r="L5" s="63"/>
      <c r="M5" s="63"/>
      <c r="N5" s="63"/>
      <c r="S5" s="11" t="s">
        <v>75</v>
      </c>
    </row>
    <row r="6" spans="1:23" ht="15" customHeight="1" x14ac:dyDescent="0.3">
      <c r="D6" s="13" t="str">
        <f>IF(AND($A$51=0,$B$55,$A$54=500,$A$53=100),"T       "," ")</f>
        <v xml:space="preserve">T       </v>
      </c>
      <c r="K6" s="63"/>
      <c r="L6" s="63"/>
      <c r="M6" s="63"/>
      <c r="N6" s="63"/>
      <c r="S6" s="11" t="s">
        <v>76</v>
      </c>
    </row>
    <row r="7" spans="1:23" ht="15.75" customHeight="1" x14ac:dyDescent="0.3">
      <c r="E7" s="2" t="str">
        <f>IF(AND($A$51=0,$B$59,$A$53=500),"PCC"," ")</f>
        <v xml:space="preserve"> </v>
      </c>
      <c r="K7" s="63"/>
      <c r="L7" s="63"/>
      <c r="M7" s="63"/>
      <c r="N7" s="63"/>
      <c r="S7" s="11" t="s">
        <v>53</v>
      </c>
    </row>
    <row r="8" spans="1:23" ht="17.25" customHeight="1" x14ac:dyDescent="0.3">
      <c r="C8" s="2" t="str">
        <f>IF(AND($A$51=0,$F$59,$A$53=500),"  PCCot"," ")</f>
        <v xml:space="preserve"> </v>
      </c>
      <c r="E8" s="1" t="str">
        <f>IF(AND($A$51=0,$B$59,$A$53=700),"PCC"," ")</f>
        <v xml:space="preserve"> </v>
      </c>
      <c r="K8" s="8" t="str">
        <f>IF(AND($A$51=0,$B$55,$A$53=700,$A$54=300),"   D"," ")</f>
        <v xml:space="preserve"> </v>
      </c>
      <c r="L8" s="8" t="str">
        <f>IF(AND($G$59,$B$55,$A$54=300)," D",IF(AND($B$55,$A$51=0,$A$53=100,$A$54=300),"D",IF(AND($B$55,$A$51=0,$D$55,$A$53=700,$A$54=300)," S"," ")))</f>
        <v xml:space="preserve"> </v>
      </c>
      <c r="M8" s="6" t="str">
        <f>IF(AND($G$59,$D$55,$A$54=300),"S  ",IF(AND($A$51=0,$A$53=100,$D$55,$A$54=300),"S  "," "))</f>
        <v xml:space="preserve"> </v>
      </c>
      <c r="N8" s="63"/>
      <c r="P8" s="15" t="s">
        <v>77</v>
      </c>
      <c r="Q8" s="12" t="s">
        <v>48</v>
      </c>
      <c r="R8" s="11" t="s">
        <v>85</v>
      </c>
    </row>
    <row r="9" spans="1:23" ht="18" customHeight="1" x14ac:dyDescent="0.3">
      <c r="C9" s="8" t="str">
        <f>IF(AND($A$51=0,$F$55,$A$53=100,$A$54=500),"V"," ")</f>
        <v>V</v>
      </c>
      <c r="D9" s="14" t="str">
        <f>IF(AND(OR($A$53=500,$G$59),$A$54=500),"          T"," ")</f>
        <v xml:space="preserve"> </v>
      </c>
      <c r="F9" s="1" t="str">
        <f>IF(AND($A$51=1,$B$59),"PCC           "," ")</f>
        <v xml:space="preserve"> </v>
      </c>
      <c r="K9" s="63"/>
      <c r="L9" s="16" t="str">
        <f>IF(AND($A$54=260,$G$59,$B$55),"   E"," ")</f>
        <v xml:space="preserve"> </v>
      </c>
      <c r="M9" s="63"/>
      <c r="N9" s="63"/>
      <c r="S9" s="11" t="s">
        <v>78</v>
      </c>
    </row>
    <row r="10" spans="1:23" x14ac:dyDescent="0.3">
      <c r="A10" s="13" t="str">
        <f>IF($A$57," B    "," ")</f>
        <v xml:space="preserve"> B    </v>
      </c>
      <c r="B10" s="82" t="str">
        <f>IF(AND($G$59,$D$55,$A$54=500),"  S",IF(AND($A$51=0,$D$55,$A$54=500,$A$53=100),"  S"," "))</f>
        <v xml:space="preserve">  S</v>
      </c>
      <c r="D10" s="17" t="str">
        <f>IF(AND(B55,$A$51=0,$A$54=300,$A$53=100),"D   ",IF(AND($B$55,$G$59,$A$54=300),"D     "," "))</f>
        <v xml:space="preserve"> </v>
      </c>
      <c r="E10" s="9" t="str">
        <f>IF(AND($A$51=0,$B$55,$A$53=700,$A$54=500),"   T"," ")</f>
        <v xml:space="preserve"> </v>
      </c>
      <c r="K10" s="63"/>
      <c r="L10" s="63"/>
      <c r="M10" s="63"/>
      <c r="N10" s="64"/>
      <c r="O10" s="19"/>
      <c r="P10" s="11" t="s">
        <v>79</v>
      </c>
    </row>
    <row r="11" spans="1:23" ht="18" customHeight="1" x14ac:dyDescent="0.3">
      <c r="B11" s="82"/>
      <c r="C11" s="20" t="str">
        <f>IF(AND($A$51=0,$F$55,$A$53=500,$A$54=500)," V"," ")</f>
        <v xml:space="preserve"> </v>
      </c>
      <c r="D11" s="8" t="str">
        <f>IF(AND($F$59,$A$53=700,$A$51=0),"PCCot",IF(AND($A$54=260,$G$59,$B$55),"    E"," "))</f>
        <v xml:space="preserve"> </v>
      </c>
      <c r="K11" s="63"/>
      <c r="L11" s="63"/>
      <c r="M11" s="63"/>
      <c r="N11" s="63"/>
      <c r="P11" s="11" t="s">
        <v>87</v>
      </c>
    </row>
    <row r="12" spans="1:23" ht="15.75" customHeight="1" x14ac:dyDescent="0.3">
      <c r="B12" s="82" t="str">
        <f>IF(AND($A$51=0,$A$53=500,$A$54=500,$D$55),"                  S",IF(AND($G$59,$D$55,$A$54=300),"       S",IF(AND($A$51=0,$D$55,$A$53=100,$A$54=300),"       S"," ")))</f>
        <v xml:space="preserve"> </v>
      </c>
      <c r="C12" s="82"/>
      <c r="D12" s="1" t="str">
        <f>IF(AND($A$51=0,$B$55,$A$53=700,$A$54=500,$F$55,$D$45=0),"V  "," ")</f>
        <v xml:space="preserve"> </v>
      </c>
      <c r="E12" s="9" t="str">
        <f>IF(AND($A$51=0,$B$55,$A$53=700,$A$54=300),"D"," ")</f>
        <v xml:space="preserve"> </v>
      </c>
      <c r="K12" s="21" t="str">
        <f>IF(AND(A53&lt;=500,A55),"   A",IF(AND(G59,A55),"   A",IF($A$55,"        A"," ")))</f>
        <v xml:space="preserve">   A</v>
      </c>
      <c r="L12" s="63"/>
      <c r="M12" s="63"/>
      <c r="N12" s="63"/>
      <c r="P12" s="11" t="s">
        <v>81</v>
      </c>
    </row>
    <row r="13" spans="1:23" x14ac:dyDescent="0.3">
      <c r="C13" s="6" t="str">
        <f>IF(AND($A$51=0,$F$44,$D$55,$A$53=700,$A$54&gt;=300),"S"," ")</f>
        <v xml:space="preserve"> </v>
      </c>
      <c r="D13" s="9" t="str">
        <f>IF(AND($A$51=0,$F$44=0,$D$55,$A$53=700,$A$54&gt;=300),"S ",IF(AND($A$51=0,$B$55,$A$53=700,$A$54=500,$F$55,$D$45=1),"   V"," "))</f>
        <v xml:space="preserve"> </v>
      </c>
      <c r="P13" s="11" t="s">
        <v>84</v>
      </c>
    </row>
    <row r="14" spans="1:23" ht="18.75" customHeight="1" x14ac:dyDescent="0.3">
      <c r="D14" s="6" t="str">
        <f>IF(AND($A$55,$G$59)," A "," ")</f>
        <v xml:space="preserve"> </v>
      </c>
      <c r="E14" s="16" t="str">
        <f>IF(AND($A$55,$G$59=FALSE)," A "," ")</f>
        <v xml:space="preserve"> A </v>
      </c>
      <c r="P14" s="11" t="s">
        <v>80</v>
      </c>
    </row>
    <row r="15" spans="1:23" ht="12" customHeight="1" x14ac:dyDescent="0.3">
      <c r="B15" s="22" t="str">
        <f>IF(AND($A$53&lt;640,$F$60),"  Inc. ot"," ")</f>
        <v xml:space="preserve">  Inc. ot</v>
      </c>
      <c r="C15" s="23" t="str">
        <f>IF(AND($F$60,$A$53&gt;630),"Inc. ot"," ")</f>
        <v xml:space="preserve"> </v>
      </c>
      <c r="D15" s="21"/>
      <c r="E15" s="16"/>
      <c r="M15" s="23" t="str">
        <f>IF(AND($A$53&gt;490,$F$60),"Inc. ot "," ")</f>
        <v xml:space="preserve"> </v>
      </c>
      <c r="N15" s="23" t="str">
        <f>IF(AND($A$53&lt;=490,$F$60),"Inc.ot"," ")</f>
        <v>Inc.ot</v>
      </c>
      <c r="O15" s="10" t="s">
        <v>107</v>
      </c>
    </row>
    <row r="16" spans="1:23" ht="11.25" customHeight="1" x14ac:dyDescent="0.3">
      <c r="B16" s="24" t="str">
        <f>IF(AND($A$53&lt;640,$D$60),"Inc. "," ")</f>
        <v xml:space="preserve">Inc. </v>
      </c>
      <c r="C16" s="25" t="str">
        <f>IF(AND($A$53&gt;630,$D$60),"Inc."," ")</f>
        <v xml:space="preserve"> </v>
      </c>
      <c r="D16" s="21"/>
      <c r="E16" s="16"/>
      <c r="M16" s="25" t="str">
        <f>IF(AND($A$53&gt;490,$D$60),"Inc.     "," ")</f>
        <v xml:space="preserve"> </v>
      </c>
      <c r="N16" s="25" t="str">
        <f>IF(AND($A$53&lt;=490,$D$60),"Inc. "," ")</f>
        <v xml:space="preserve">Inc. </v>
      </c>
      <c r="O16" s="26" t="s">
        <v>111</v>
      </c>
    </row>
    <row r="17" spans="1:20" ht="13.5" customHeight="1" x14ac:dyDescent="0.3">
      <c r="B17" s="21"/>
      <c r="C17" s="21"/>
      <c r="D17" s="21"/>
      <c r="E17" s="27" t="str">
        <f>IF($B$60,"Sub."," ")</f>
        <v>Sub.</v>
      </c>
      <c r="G17" s="20" t="s">
        <v>106</v>
      </c>
      <c r="K17" s="28" t="str">
        <f>IF($B$60,"Sub.     "," ")</f>
        <v xml:space="preserve">Sub.     </v>
      </c>
      <c r="O17" s="59">
        <f>(C23-G23)*P21+C25-G25</f>
        <v>800.00000000000023</v>
      </c>
      <c r="P17" s="60" t="s">
        <v>113</v>
      </c>
      <c r="Q17" s="61"/>
      <c r="R17" s="60"/>
      <c r="S17" s="60"/>
    </row>
    <row r="18" spans="1:20" x14ac:dyDescent="0.3">
      <c r="O18" s="59">
        <f>(C23-G23)*P21</f>
        <v>400.00000000000028</v>
      </c>
      <c r="P18" s="62" t="s">
        <v>114</v>
      </c>
      <c r="Q18" s="60"/>
      <c r="R18" s="60"/>
      <c r="S18" s="60"/>
    </row>
    <row r="19" spans="1:20" x14ac:dyDescent="0.3">
      <c r="G19" s="29" t="s">
        <v>104</v>
      </c>
      <c r="N19" s="29" t="s">
        <v>105</v>
      </c>
      <c r="O19" s="60"/>
      <c r="P19" s="60"/>
      <c r="Q19" s="60"/>
      <c r="R19" s="60"/>
      <c r="S19" s="60"/>
    </row>
    <row r="20" spans="1:20" ht="5.25" customHeight="1" thickBot="1" x14ac:dyDescent="0.35">
      <c r="G20" s="29"/>
      <c r="N20" s="29"/>
    </row>
    <row r="21" spans="1:20" ht="18" x14ac:dyDescent="0.4">
      <c r="A21" s="83" t="s">
        <v>90</v>
      </c>
      <c r="B21" s="84"/>
      <c r="C21" s="84"/>
      <c r="D21" s="84"/>
      <c r="E21" s="84"/>
      <c r="F21" s="84"/>
      <c r="G21" s="30">
        <f>N42</f>
        <v>30</v>
      </c>
      <c r="H21" s="92" t="s">
        <v>91</v>
      </c>
      <c r="I21" s="93"/>
      <c r="J21" s="93"/>
      <c r="K21" s="93"/>
      <c r="L21" s="93"/>
      <c r="M21" s="93"/>
      <c r="N21" s="94"/>
      <c r="P21" s="31">
        <f>G21</f>
        <v>30</v>
      </c>
      <c r="Q21" s="32" t="s">
        <v>100</v>
      </c>
      <c r="R21" s="32"/>
      <c r="S21" s="33"/>
    </row>
    <row r="22" spans="1:20" ht="18.600000000000001" thickBot="1" x14ac:dyDescent="0.45">
      <c r="A22" s="34"/>
      <c r="B22" s="35" t="s">
        <v>69</v>
      </c>
      <c r="C22" s="87" t="s">
        <v>89</v>
      </c>
      <c r="D22" s="88"/>
      <c r="E22" s="78" t="s">
        <v>94</v>
      </c>
      <c r="F22" s="79"/>
      <c r="G22" s="36" t="s">
        <v>95</v>
      </c>
      <c r="H22" s="37"/>
      <c r="I22" s="38"/>
      <c r="J22" s="18" t="s">
        <v>93</v>
      </c>
      <c r="K22" s="39" t="s">
        <v>92</v>
      </c>
      <c r="L22" s="40"/>
      <c r="M22" s="38"/>
      <c r="N22" s="40"/>
      <c r="P22" s="41"/>
      <c r="Q22" s="42"/>
      <c r="R22" s="42"/>
      <c r="S22" s="43"/>
    </row>
    <row r="23" spans="1:20" x14ac:dyDescent="0.3">
      <c r="A23" s="44" t="s">
        <v>96</v>
      </c>
      <c r="B23" s="45">
        <f>A$41*L43</f>
        <v>128</v>
      </c>
      <c r="C23" s="80">
        <f>B$41*N43</f>
        <v>114.66666666666667</v>
      </c>
      <c r="D23" s="81"/>
      <c r="E23" s="80">
        <f>D$41*O43</f>
        <v>94.188021535170066</v>
      </c>
      <c r="F23" s="81"/>
      <c r="G23" s="46">
        <f>F$41*M43</f>
        <v>101.33333333333333</v>
      </c>
      <c r="H23" s="47" t="str">
        <f>IF(A41,"Initial"," ")</f>
        <v>Initial</v>
      </c>
      <c r="I23" s="95">
        <f>IF(A41,10," ")</f>
        <v>10</v>
      </c>
      <c r="J23" s="95"/>
      <c r="K23" s="48">
        <f>IF(A41,B24," ")</f>
        <v>40</v>
      </c>
      <c r="L23" s="48"/>
      <c r="M23" s="38"/>
      <c r="N23" s="49" t="s">
        <v>110</v>
      </c>
      <c r="O23" s="32" t="s">
        <v>101</v>
      </c>
      <c r="P23" s="32"/>
      <c r="Q23" s="32"/>
      <c r="R23" s="32"/>
      <c r="S23" s="50" t="s">
        <v>36</v>
      </c>
    </row>
    <row r="24" spans="1:20" x14ac:dyDescent="0.3">
      <c r="A24" s="44" t="s">
        <v>68</v>
      </c>
      <c r="B24" s="45">
        <f>A$41*(168-L43)</f>
        <v>40</v>
      </c>
      <c r="C24" s="80">
        <f>B$41*(168-N43)</f>
        <v>53.333333333333329</v>
      </c>
      <c r="D24" s="81"/>
      <c r="E24" s="80">
        <f>D$41*(168-O43)</f>
        <v>73.811978464829934</v>
      </c>
      <c r="F24" s="81"/>
      <c r="G24" s="46">
        <f>F$41*(168-M43)</f>
        <v>66.666666666666671</v>
      </c>
      <c r="H24" s="47" t="str">
        <f>IF(B41,"Final"," ")</f>
        <v>Final</v>
      </c>
      <c r="I24" s="95">
        <f>IF(B41,G21," ")</f>
        <v>30</v>
      </c>
      <c r="J24" s="95"/>
      <c r="K24" s="48">
        <f>IF(B41,C24," ")</f>
        <v>53.333333333333329</v>
      </c>
      <c r="L24" s="51" t="str">
        <f>IF(OR($A$41=0,$B$41=0)," ",IF(K24&lt;$K$23,"-","+"))</f>
        <v>+</v>
      </c>
      <c r="M24" s="75" t="str">
        <f>IF(OR($A$41=0,$B$41=0)," ",TEXT((ABS(K24-$K$23)/24),"h:mm"))</f>
        <v>13:20</v>
      </c>
      <c r="N24" s="76"/>
      <c r="O24" s="38"/>
      <c r="P24" s="38"/>
      <c r="Q24" s="38"/>
      <c r="R24" s="38"/>
      <c r="S24" s="40"/>
    </row>
    <row r="25" spans="1:20" ht="16.2" thickBot="1" x14ac:dyDescent="0.35">
      <c r="A25" s="52" t="s">
        <v>97</v>
      </c>
      <c r="B25" s="53">
        <f>A$41*L44</f>
        <v>400</v>
      </c>
      <c r="C25" s="99">
        <f>B$41*N44</f>
        <v>1600</v>
      </c>
      <c r="D25" s="100"/>
      <c r="E25" s="97">
        <f>D$41*O44</f>
        <v>985.64064605510202</v>
      </c>
      <c r="F25" s="98"/>
      <c r="G25" s="54">
        <f>F$41*M44</f>
        <v>1200</v>
      </c>
      <c r="H25" s="47" t="str">
        <f>IF(F41,"OT@Final"," ")</f>
        <v>OT@Final</v>
      </c>
      <c r="I25" s="95">
        <f>IF(F41,G21," ")</f>
        <v>30</v>
      </c>
      <c r="J25" s="95"/>
      <c r="K25" s="48">
        <f>IF(F41,G24," ")</f>
        <v>66.666666666666671</v>
      </c>
      <c r="L25" s="51" t="str">
        <f>IF(A54&lt;100," ",IF(OR($A$41=0,$F$41=0)," ",IF(K25&lt;$K$23,"-","+")))</f>
        <v>+</v>
      </c>
      <c r="M25" s="75" t="str">
        <f>IF(A54&lt;100," ",IF(OR($A$41=0,$F$41=0)," ",TEXT((K25-$K$23)/24,"d:h:mm")))</f>
        <v>1:2:40</v>
      </c>
      <c r="N25" s="76"/>
      <c r="O25" s="73" t="s">
        <v>112</v>
      </c>
      <c r="P25" s="73"/>
      <c r="Q25" s="73"/>
      <c r="R25" s="73"/>
      <c r="S25" s="74"/>
    </row>
    <row r="26" spans="1:20" ht="18.600000000000001" thickBot="1" x14ac:dyDescent="0.45">
      <c r="A26" s="90" t="s">
        <v>99</v>
      </c>
      <c r="B26" s="91"/>
      <c r="C26" s="91"/>
      <c r="D26" s="91"/>
      <c r="E26" s="91"/>
      <c r="F26" s="91"/>
      <c r="G26" s="91"/>
      <c r="H26" s="55" t="str">
        <f>IF(D41,"Substitution"," ")</f>
        <v>Substitution</v>
      </c>
      <c r="I26" s="96">
        <f>IF(D41,G21," ")</f>
        <v>30</v>
      </c>
      <c r="J26" s="96"/>
      <c r="K26" s="56">
        <f>IF(D41,E24," ")</f>
        <v>73.811978464829934</v>
      </c>
      <c r="L26" s="57" t="str">
        <f>IF(OR($A$41=0,$D$41=0)," ",IF(K26&lt;$K$23,"-","+"))</f>
        <v>+</v>
      </c>
      <c r="M26" s="85" t="str">
        <f>IF(OR($A$41=0,$D$41=0)," ",TEXT((K26-$K$23)/24,"d:h:mm"))</f>
        <v>1:9:48</v>
      </c>
      <c r="N26" s="86"/>
    </row>
    <row r="27" spans="1:20" x14ac:dyDescent="0.3">
      <c r="N27" s="58"/>
      <c r="O27" s="58"/>
      <c r="P27" s="58"/>
      <c r="Q27" s="58"/>
      <c r="R27" s="58"/>
      <c r="S27" s="58"/>
      <c r="T27" s="58"/>
    </row>
    <row r="28" spans="1:20" x14ac:dyDescent="0.3">
      <c r="D28" s="6"/>
    </row>
    <row r="32" spans="1:20" s="65" customFormat="1" x14ac:dyDescent="0.3"/>
    <row r="33" spans="1:36" s="66" customFormat="1" ht="0.75" customHeight="1" x14ac:dyDescent="0.3">
      <c r="P33" s="67" t="s">
        <v>34</v>
      </c>
      <c r="T33" s="67" t="s">
        <v>16</v>
      </c>
      <c r="Y33" s="66" t="s">
        <v>46</v>
      </c>
      <c r="Z33" s="66" t="s">
        <v>48</v>
      </c>
      <c r="AA33" s="66" t="s">
        <v>51</v>
      </c>
      <c r="AB33" s="66" t="s">
        <v>52</v>
      </c>
      <c r="AC33" s="66" t="s">
        <v>49</v>
      </c>
      <c r="AF33" s="66" t="s">
        <v>46</v>
      </c>
      <c r="AG33" s="66" t="s">
        <v>48</v>
      </c>
      <c r="AH33" s="66" t="s">
        <v>51</v>
      </c>
      <c r="AI33" s="66" t="s">
        <v>52</v>
      </c>
      <c r="AJ33" s="66" t="s">
        <v>50</v>
      </c>
    </row>
    <row r="34" spans="1:36" s="66" customFormat="1" ht="0.75" customHeight="1" x14ac:dyDescent="0.3">
      <c r="P34" s="68" t="s">
        <v>29</v>
      </c>
      <c r="Q34" s="68" t="s">
        <v>30</v>
      </c>
      <c r="R34" s="68" t="s">
        <v>31</v>
      </c>
      <c r="S34" s="68" t="s">
        <v>32</v>
      </c>
      <c r="T34" s="68" t="s">
        <v>29</v>
      </c>
      <c r="U34" s="68" t="s">
        <v>30</v>
      </c>
      <c r="V34" s="68" t="s">
        <v>31</v>
      </c>
      <c r="W34" s="68" t="s">
        <v>32</v>
      </c>
      <c r="X34" s="66">
        <f t="shared" ref="X34:X50" si="0">IF(AND($A$47,$A$51=0),168-AA34,-100)</f>
        <v>26.666666666666657</v>
      </c>
      <c r="Y34" s="66">
        <v>6</v>
      </c>
      <c r="Z34" s="66">
        <f t="shared" ref="Z34:Z50" si="1">168*Y34</f>
        <v>1008</v>
      </c>
      <c r="AA34" s="66">
        <f>(Z34/2+$L$37*Y34/2-$L$38/2)/Y34</f>
        <v>141.33333333333334</v>
      </c>
      <c r="AB34" s="66">
        <f t="shared" ref="AB34:AB50" si="2">IF(AND($B$44=1,$A$51=0),AA34,-100)</f>
        <v>141.33333333333334</v>
      </c>
      <c r="AC34" s="66">
        <f t="shared" ref="AC34:AC50" si="3">Z34-Y34*AA34</f>
        <v>160</v>
      </c>
    </row>
    <row r="35" spans="1:36" s="66" customFormat="1" ht="0.75" customHeight="1" x14ac:dyDescent="0.3">
      <c r="H35" s="66" t="s">
        <v>24</v>
      </c>
      <c r="P35" s="68">
        <v>0</v>
      </c>
      <c r="Q35" s="68">
        <v>0</v>
      </c>
      <c r="R35" s="68">
        <v>0</v>
      </c>
      <c r="S35" s="68">
        <v>0</v>
      </c>
      <c r="T35" s="68">
        <f t="shared" ref="T35:W38" si="4">L$44</f>
        <v>400</v>
      </c>
      <c r="U35" s="68">
        <f t="shared" si="4"/>
        <v>1200</v>
      </c>
      <c r="V35" s="68">
        <f t="shared" si="4"/>
        <v>1600</v>
      </c>
      <c r="W35" s="68">
        <f t="shared" si="4"/>
        <v>985.64064605510202</v>
      </c>
      <c r="X35" s="66">
        <f t="shared" si="0"/>
        <v>31.428571428571416</v>
      </c>
      <c r="Y35" s="66">
        <v>7</v>
      </c>
      <c r="Z35" s="66">
        <f t="shared" si="1"/>
        <v>1176</v>
      </c>
      <c r="AA35" s="66">
        <f>(Z35/2+$L$37*Y35/2-$L$38/2)/Y35</f>
        <v>136.57142857142858</v>
      </c>
      <c r="AB35" s="66">
        <f t="shared" si="2"/>
        <v>136.57142857142858</v>
      </c>
      <c r="AC35" s="66">
        <f t="shared" si="3"/>
        <v>219.99999999999989</v>
      </c>
    </row>
    <row r="36" spans="1:36" s="66" customFormat="1" ht="0.75" customHeight="1" x14ac:dyDescent="0.3">
      <c r="H36" s="66">
        <f>(B38-50)/100</f>
        <v>2</v>
      </c>
      <c r="L36" s="66" t="s">
        <v>1</v>
      </c>
      <c r="M36" s="66" t="s">
        <v>56</v>
      </c>
      <c r="P36" s="68">
        <v>0</v>
      </c>
      <c r="Q36" s="68">
        <v>0</v>
      </c>
      <c r="R36" s="68">
        <v>0</v>
      </c>
      <c r="S36" s="68">
        <v>0</v>
      </c>
      <c r="T36" s="68">
        <f t="shared" si="4"/>
        <v>400</v>
      </c>
      <c r="U36" s="68">
        <f t="shared" si="4"/>
        <v>1200</v>
      </c>
      <c r="V36" s="68">
        <f t="shared" si="4"/>
        <v>1600</v>
      </c>
      <c r="W36" s="68">
        <f t="shared" si="4"/>
        <v>985.64064605510202</v>
      </c>
      <c r="X36" s="66">
        <f t="shared" si="0"/>
        <v>35</v>
      </c>
      <c r="Y36" s="66">
        <v>8</v>
      </c>
      <c r="Z36" s="66">
        <f t="shared" si="1"/>
        <v>1344</v>
      </c>
      <c r="AA36" s="66">
        <f>(Z36/2+$L$37*Y36/2-$L$38/2)/Y36</f>
        <v>133</v>
      </c>
      <c r="AB36" s="66">
        <f t="shared" si="2"/>
        <v>133</v>
      </c>
      <c r="AC36" s="66">
        <f t="shared" si="3"/>
        <v>280</v>
      </c>
    </row>
    <row r="37" spans="1:36" s="66" customFormat="1" ht="0.75" customHeight="1" x14ac:dyDescent="0.3">
      <c r="G37" s="67" t="s">
        <v>40</v>
      </c>
      <c r="H37" s="67" t="s">
        <v>5</v>
      </c>
      <c r="I37" s="67"/>
      <c r="J37" s="67"/>
      <c r="K37" s="67"/>
      <c r="L37" s="69">
        <f>L38/10+88</f>
        <v>48</v>
      </c>
      <c r="M37" s="69">
        <f>M38/10+88</f>
        <v>48</v>
      </c>
      <c r="P37" s="68">
        <f>L$43*A$40</f>
        <v>128</v>
      </c>
      <c r="Q37" s="68">
        <f>M$43*F$40</f>
        <v>101.33333333333333</v>
      </c>
      <c r="R37" s="68">
        <f>N$43*B$40</f>
        <v>114.66666666666667</v>
      </c>
      <c r="S37" s="68">
        <f>O$43*D$40</f>
        <v>94.188021535170066</v>
      </c>
      <c r="T37" s="68">
        <f t="shared" si="4"/>
        <v>400</v>
      </c>
      <c r="U37" s="68">
        <f t="shared" si="4"/>
        <v>1200</v>
      </c>
      <c r="V37" s="68">
        <f t="shared" si="4"/>
        <v>1600</v>
      </c>
      <c r="W37" s="68">
        <f t="shared" si="4"/>
        <v>985.64064605510202</v>
      </c>
      <c r="X37" s="66">
        <f t="shared" si="0"/>
        <v>40</v>
      </c>
      <c r="Y37" s="66">
        <v>10</v>
      </c>
      <c r="Z37" s="66">
        <f t="shared" si="1"/>
        <v>1680</v>
      </c>
      <c r="AA37" s="66">
        <f>(Z37/2+$L$37*Y37/2-$L$38/2)/Y37</f>
        <v>128</v>
      </c>
      <c r="AB37" s="66">
        <f t="shared" si="2"/>
        <v>128</v>
      </c>
      <c r="AC37" s="66">
        <f t="shared" si="3"/>
        <v>400</v>
      </c>
      <c r="AE37" s="66">
        <f>IF(AND($A$51=0,$A$48),168-AH37,-100)</f>
        <v>40</v>
      </c>
      <c r="AF37" s="66">
        <v>10</v>
      </c>
      <c r="AG37" s="66">
        <f>128*AF37+10*40</f>
        <v>1680</v>
      </c>
      <c r="AH37" s="66">
        <f>(AG37/2+$L$37*AF37/2-$L$38/2)/AF37</f>
        <v>128</v>
      </c>
      <c r="AI37" s="66">
        <f t="shared" ref="AI37:AI50" si="5">IF(AND($F$44=1,$A$51=0),AH37,-100)</f>
        <v>128</v>
      </c>
      <c r="AJ37" s="66">
        <f t="shared" ref="AJ37:AJ50" si="6">AG37-AF37*AH37</f>
        <v>400</v>
      </c>
    </row>
    <row r="38" spans="1:36" s="66" customFormat="1" ht="0.75" customHeight="1" x14ac:dyDescent="0.3">
      <c r="A38" s="67" t="s">
        <v>42</v>
      </c>
      <c r="B38" s="68">
        <f>A54/2</f>
        <v>250</v>
      </c>
      <c r="C38" s="68"/>
      <c r="G38" s="67" t="s">
        <v>3</v>
      </c>
      <c r="H38" s="67" t="s">
        <v>4</v>
      </c>
      <c r="I38" s="67"/>
      <c r="J38" s="67"/>
      <c r="K38" s="67"/>
      <c r="L38" s="69">
        <f>IF(A51,IF(B38&lt;130,-450+B38,IF(B38&gt;200,-910+4*B38,-560+3*(B38-50))),A53-500)</f>
        <v>-400</v>
      </c>
      <c r="M38" s="69">
        <f>IF(A51,-400,L38)</f>
        <v>-400</v>
      </c>
      <c r="P38" s="68">
        <f>L$43*A$40</f>
        <v>128</v>
      </c>
      <c r="Q38" s="68">
        <f>M$43*F$40</f>
        <v>101.33333333333333</v>
      </c>
      <c r="R38" s="68">
        <f>N$43*B$40</f>
        <v>114.66666666666667</v>
      </c>
      <c r="S38" s="68">
        <f>O$43*D$40</f>
        <v>94.188021535170066</v>
      </c>
      <c r="T38" s="68">
        <f t="shared" si="4"/>
        <v>400</v>
      </c>
      <c r="U38" s="68">
        <f t="shared" si="4"/>
        <v>1200</v>
      </c>
      <c r="V38" s="68">
        <f t="shared" si="4"/>
        <v>1600</v>
      </c>
      <c r="W38" s="68">
        <f t="shared" si="4"/>
        <v>985.64064605510202</v>
      </c>
      <c r="X38" s="66">
        <f t="shared" si="0"/>
        <v>43.333333333333329</v>
      </c>
      <c r="Y38" s="66">
        <v>12</v>
      </c>
      <c r="Z38" s="66">
        <f t="shared" si="1"/>
        <v>2016</v>
      </c>
      <c r="AA38" s="66">
        <f t="shared" ref="AA38:AA50" si="7">(Z38/2+$L$37*Y38/2-$L$38/2)/Y38</f>
        <v>124.66666666666667</v>
      </c>
      <c r="AB38" s="66">
        <f t="shared" si="2"/>
        <v>124.66666666666667</v>
      </c>
      <c r="AC38" s="66">
        <f t="shared" si="3"/>
        <v>520</v>
      </c>
      <c r="AE38" s="66">
        <f t="shared" ref="AE38:AE50" si="8">IF(AND($A$51=0,$A$48),168-AH38,-100)</f>
        <v>46.666666666666671</v>
      </c>
      <c r="AF38" s="66">
        <v>12</v>
      </c>
      <c r="AG38" s="66">
        <f t="shared" ref="AG38:AG50" si="9">128*AF38+10*40</f>
        <v>1936</v>
      </c>
      <c r="AH38" s="66">
        <f t="shared" ref="AH38:AH50" si="10">(AG38/2+$L$37*AF38/2-$L$38/2)/AF38</f>
        <v>121.33333333333333</v>
      </c>
      <c r="AI38" s="66">
        <f t="shared" si="5"/>
        <v>121.33333333333333</v>
      </c>
      <c r="AJ38" s="66">
        <f t="shared" si="6"/>
        <v>480</v>
      </c>
    </row>
    <row r="39" spans="1:36" s="66" customFormat="1" ht="0.75" customHeight="1" x14ac:dyDescent="0.3">
      <c r="A39" s="66" t="s">
        <v>20</v>
      </c>
      <c r="B39" s="66" t="s">
        <v>26</v>
      </c>
      <c r="D39" s="66" t="s">
        <v>21</v>
      </c>
      <c r="F39" s="66" t="s">
        <v>25</v>
      </c>
      <c r="H39" s="67"/>
      <c r="I39" s="67"/>
      <c r="J39" s="67"/>
      <c r="K39" s="67"/>
      <c r="M39" s="66" t="s">
        <v>45</v>
      </c>
      <c r="P39" s="68">
        <f>L$43*A$40</f>
        <v>128</v>
      </c>
      <c r="Q39" s="68">
        <f>M$43*F$40</f>
        <v>101.33333333333333</v>
      </c>
      <c r="R39" s="68">
        <f>N$43*B$40</f>
        <v>114.66666666666667</v>
      </c>
      <c r="S39" s="68">
        <f>O$43*D$40</f>
        <v>94.188021535170066</v>
      </c>
      <c r="T39" s="68">
        <v>0</v>
      </c>
      <c r="U39" s="68">
        <v>0</v>
      </c>
      <c r="V39" s="68">
        <v>0</v>
      </c>
      <c r="W39" s="68">
        <v>0</v>
      </c>
      <c r="X39" s="66">
        <f t="shared" si="0"/>
        <v>45.714285714285708</v>
      </c>
      <c r="Y39" s="66">
        <v>14</v>
      </c>
      <c r="Z39" s="66">
        <f t="shared" si="1"/>
        <v>2352</v>
      </c>
      <c r="AA39" s="66">
        <f t="shared" si="7"/>
        <v>122.28571428571429</v>
      </c>
      <c r="AB39" s="66">
        <f t="shared" si="2"/>
        <v>122.28571428571429</v>
      </c>
      <c r="AC39" s="66">
        <f t="shared" si="3"/>
        <v>640</v>
      </c>
      <c r="AE39" s="66">
        <f t="shared" si="8"/>
        <v>51.428571428571431</v>
      </c>
      <c r="AF39" s="66">
        <v>14</v>
      </c>
      <c r="AG39" s="66">
        <f t="shared" si="9"/>
        <v>2192</v>
      </c>
      <c r="AH39" s="66">
        <f t="shared" si="10"/>
        <v>116.57142857142857</v>
      </c>
      <c r="AI39" s="66">
        <f t="shared" si="5"/>
        <v>116.57142857142857</v>
      </c>
      <c r="AJ39" s="66">
        <f t="shared" si="6"/>
        <v>560</v>
      </c>
    </row>
    <row r="40" spans="1:36" s="66" customFormat="1" ht="0.75" customHeight="1" x14ac:dyDescent="0.3">
      <c r="A40" s="68">
        <f t="shared" ref="A40:D42" si="11">IF(A55,1,0)</f>
        <v>1</v>
      </c>
      <c r="B40" s="68">
        <f t="shared" si="11"/>
        <v>1</v>
      </c>
      <c r="C40" s="68"/>
      <c r="D40" s="68">
        <f t="shared" si="11"/>
        <v>1</v>
      </c>
      <c r="E40" s="68"/>
      <c r="F40" s="68">
        <f t="shared" ref="F40:F45" si="12">IF(AND($A$51=0,F55),1,0)</f>
        <v>1</v>
      </c>
      <c r="G40" s="66" t="s">
        <v>71</v>
      </c>
      <c r="H40" s="66" t="s">
        <v>35</v>
      </c>
      <c r="L40" s="66" t="s">
        <v>6</v>
      </c>
      <c r="M40" s="66" t="s">
        <v>13</v>
      </c>
      <c r="N40" s="66" t="s">
        <v>8</v>
      </c>
      <c r="O40" s="66" t="s">
        <v>12</v>
      </c>
      <c r="P40" s="68">
        <f>L$43*A$40</f>
        <v>128</v>
      </c>
      <c r="Q40" s="68">
        <f>M$43*F$40</f>
        <v>101.33333333333333</v>
      </c>
      <c r="R40" s="68">
        <f>N$43*B$40</f>
        <v>114.66666666666667</v>
      </c>
      <c r="S40" s="68">
        <f>O$43*D$40</f>
        <v>94.188021535170066</v>
      </c>
      <c r="T40" s="68">
        <v>0</v>
      </c>
      <c r="U40" s="68">
        <v>0</v>
      </c>
      <c r="V40" s="68">
        <v>0</v>
      </c>
      <c r="W40" s="68">
        <v>0</v>
      </c>
      <c r="X40" s="66">
        <f t="shared" si="0"/>
        <v>47.5</v>
      </c>
      <c r="Y40" s="66">
        <v>16</v>
      </c>
      <c r="Z40" s="66">
        <f t="shared" si="1"/>
        <v>2688</v>
      </c>
      <c r="AA40" s="66">
        <f t="shared" si="7"/>
        <v>120.5</v>
      </c>
      <c r="AB40" s="66">
        <f t="shared" si="2"/>
        <v>120.5</v>
      </c>
      <c r="AC40" s="66">
        <f t="shared" si="3"/>
        <v>760</v>
      </c>
      <c r="AE40" s="66">
        <f t="shared" si="8"/>
        <v>55</v>
      </c>
      <c r="AF40" s="66">
        <v>16</v>
      </c>
      <c r="AG40" s="66">
        <f t="shared" si="9"/>
        <v>2448</v>
      </c>
      <c r="AH40" s="66">
        <f t="shared" si="10"/>
        <v>113</v>
      </c>
      <c r="AI40" s="66">
        <f t="shared" si="5"/>
        <v>113</v>
      </c>
      <c r="AJ40" s="66">
        <f t="shared" si="6"/>
        <v>640</v>
      </c>
    </row>
    <row r="41" spans="1:36" s="66" customFormat="1" ht="0.75" customHeight="1" x14ac:dyDescent="0.3">
      <c r="A41" s="68">
        <f t="shared" si="11"/>
        <v>1</v>
      </c>
      <c r="B41" s="68">
        <f t="shared" si="11"/>
        <v>1</v>
      </c>
      <c r="C41" s="68"/>
      <c r="D41" s="68">
        <f t="shared" si="11"/>
        <v>1</v>
      </c>
      <c r="E41" s="68"/>
      <c r="F41" s="68">
        <f t="shared" si="12"/>
        <v>1</v>
      </c>
      <c r="G41" s="66" t="s">
        <v>72</v>
      </c>
      <c r="H41" s="66" t="s">
        <v>10</v>
      </c>
      <c r="L41" s="66">
        <v>1680</v>
      </c>
      <c r="M41" s="66">
        <f>400+1280*(1+H36)</f>
        <v>4240</v>
      </c>
      <c r="N41" s="66">
        <f>1680*(1+H36)</f>
        <v>5040</v>
      </c>
      <c r="O41" s="66">
        <f>O42*O43+O44</f>
        <v>3811.281292110204</v>
      </c>
      <c r="Q41" s="68" t="s">
        <v>27</v>
      </c>
      <c r="R41" s="68" t="s">
        <v>0</v>
      </c>
      <c r="S41" s="68" t="s">
        <v>2</v>
      </c>
      <c r="T41" s="68" t="s">
        <v>28</v>
      </c>
      <c r="U41" s="68" t="s">
        <v>15</v>
      </c>
      <c r="V41" s="68" t="s">
        <v>27</v>
      </c>
      <c r="W41" s="68" t="s">
        <v>14</v>
      </c>
      <c r="X41" s="66">
        <f t="shared" si="0"/>
        <v>48.888888888888886</v>
      </c>
      <c r="Y41" s="66">
        <v>18</v>
      </c>
      <c r="Z41" s="66">
        <f t="shared" si="1"/>
        <v>3024</v>
      </c>
      <c r="AA41" s="66">
        <f t="shared" si="7"/>
        <v>119.11111111111111</v>
      </c>
      <c r="AB41" s="66">
        <f t="shared" si="2"/>
        <v>119.11111111111111</v>
      </c>
      <c r="AC41" s="66">
        <f t="shared" si="3"/>
        <v>880</v>
      </c>
      <c r="AE41" s="66">
        <f t="shared" si="8"/>
        <v>57.777777777777771</v>
      </c>
      <c r="AF41" s="66">
        <v>18</v>
      </c>
      <c r="AG41" s="66">
        <f t="shared" si="9"/>
        <v>2704</v>
      </c>
      <c r="AH41" s="66">
        <f t="shared" si="10"/>
        <v>110.22222222222223</v>
      </c>
      <c r="AI41" s="66">
        <f t="shared" si="5"/>
        <v>110.22222222222223</v>
      </c>
      <c r="AJ41" s="66">
        <f t="shared" si="6"/>
        <v>720</v>
      </c>
    </row>
    <row r="42" spans="1:36" s="66" customFormat="1" ht="0.75" customHeight="1" x14ac:dyDescent="0.3">
      <c r="A42" s="68">
        <f t="shared" si="11"/>
        <v>1</v>
      </c>
      <c r="B42" s="68">
        <f t="shared" si="11"/>
        <v>1</v>
      </c>
      <c r="C42" s="68"/>
      <c r="D42" s="68">
        <f t="shared" si="11"/>
        <v>1</v>
      </c>
      <c r="E42" s="68"/>
      <c r="F42" s="68">
        <f t="shared" si="12"/>
        <v>1</v>
      </c>
      <c r="G42" s="66" t="s">
        <v>22</v>
      </c>
      <c r="H42" s="66" t="s">
        <v>11</v>
      </c>
      <c r="L42" s="66">
        <v>10</v>
      </c>
      <c r="M42" s="66">
        <f>10*(1+H36)</f>
        <v>30</v>
      </c>
      <c r="N42" s="66">
        <f>10*(1+$H$36)</f>
        <v>30</v>
      </c>
      <c r="O42" s="66">
        <f>10*(1+$H$36)</f>
        <v>30</v>
      </c>
      <c r="Q42" s="68">
        <v>0</v>
      </c>
      <c r="R42" s="68">
        <f>IF(A42=1,1680,-10000)</f>
        <v>1680</v>
      </c>
      <c r="S42" s="68">
        <f>B42*1680*(1+H36)</f>
        <v>5040</v>
      </c>
      <c r="T42" s="68">
        <v>0</v>
      </c>
      <c r="U42" s="68">
        <f>D42*O41</f>
        <v>3811.281292110204</v>
      </c>
      <c r="V42" s="68">
        <v>0</v>
      </c>
      <c r="W42" s="68">
        <f>(400+128*10*(1+$H$36))</f>
        <v>4240</v>
      </c>
      <c r="X42" s="66">
        <f t="shared" si="0"/>
        <v>50</v>
      </c>
      <c r="Y42" s="66">
        <v>20</v>
      </c>
      <c r="Z42" s="66">
        <f t="shared" si="1"/>
        <v>3360</v>
      </c>
      <c r="AA42" s="66">
        <f t="shared" si="7"/>
        <v>118</v>
      </c>
      <c r="AB42" s="66">
        <f t="shared" si="2"/>
        <v>118</v>
      </c>
      <c r="AC42" s="66">
        <f t="shared" si="3"/>
        <v>1000</v>
      </c>
      <c r="AE42" s="66">
        <f t="shared" si="8"/>
        <v>60</v>
      </c>
      <c r="AF42" s="66">
        <v>20</v>
      </c>
      <c r="AG42" s="66">
        <f t="shared" si="9"/>
        <v>2960</v>
      </c>
      <c r="AH42" s="66">
        <f t="shared" si="10"/>
        <v>108</v>
      </c>
      <c r="AI42" s="66">
        <f t="shared" si="5"/>
        <v>108</v>
      </c>
      <c r="AJ42" s="66">
        <f t="shared" si="6"/>
        <v>800</v>
      </c>
    </row>
    <row r="43" spans="1:36" s="66" customFormat="1" ht="0.75" customHeight="1" x14ac:dyDescent="0.3">
      <c r="A43" s="68">
        <f>IF(A58,1,0)</f>
        <v>1</v>
      </c>
      <c r="B43" s="68">
        <f>IF(B58,1,0)</f>
        <v>1</v>
      </c>
      <c r="C43" s="68"/>
      <c r="D43" s="68"/>
      <c r="E43" s="68"/>
      <c r="F43" s="68">
        <f t="shared" si="12"/>
        <v>1</v>
      </c>
      <c r="G43" s="66" t="s">
        <v>23</v>
      </c>
      <c r="H43" s="66" t="s">
        <v>58</v>
      </c>
      <c r="L43" s="66">
        <f>(L41+$M$37*L42-$M$38)/(2*L42)</f>
        <v>128</v>
      </c>
      <c r="M43" s="66">
        <f>(M41+$L$37*M42-$L$38)/(2*M42)</f>
        <v>101.33333333333333</v>
      </c>
      <c r="N43" s="66">
        <f>(N41+$L$37*N42-$L$38)/(2*N42)</f>
        <v>114.66666666666667</v>
      </c>
      <c r="O43" s="66">
        <f>M37+($L$45/O42)^0.5</f>
        <v>94.188021535170066</v>
      </c>
      <c r="Q43" s="68">
        <v>168</v>
      </c>
      <c r="R43" s="68">
        <v>0</v>
      </c>
      <c r="S43" s="68">
        <v>0</v>
      </c>
      <c r="T43" s="68">
        <f>O41/O42</f>
        <v>127.0427097370068</v>
      </c>
      <c r="U43" s="68">
        <v>0</v>
      </c>
      <c r="V43" s="68">
        <v>0</v>
      </c>
      <c r="W43" s="68">
        <f>(400+128*10*(1+$H$36))</f>
        <v>4240</v>
      </c>
      <c r="X43" s="66">
        <f t="shared" si="0"/>
        <v>50.909090909090907</v>
      </c>
      <c r="Y43" s="66">
        <v>22</v>
      </c>
      <c r="Z43" s="66">
        <f t="shared" si="1"/>
        <v>3696</v>
      </c>
      <c r="AA43" s="66">
        <f t="shared" si="7"/>
        <v>117.09090909090909</v>
      </c>
      <c r="AB43" s="66">
        <f t="shared" si="2"/>
        <v>117.09090909090909</v>
      </c>
      <c r="AC43" s="66">
        <f t="shared" si="3"/>
        <v>1120</v>
      </c>
      <c r="AE43" s="66">
        <f t="shared" si="8"/>
        <v>63.333333333333329</v>
      </c>
      <c r="AF43" s="66">
        <v>24</v>
      </c>
      <c r="AG43" s="66">
        <f t="shared" si="9"/>
        <v>3472</v>
      </c>
      <c r="AH43" s="66">
        <f t="shared" si="10"/>
        <v>104.66666666666667</v>
      </c>
      <c r="AI43" s="66">
        <f t="shared" si="5"/>
        <v>104.66666666666667</v>
      </c>
      <c r="AJ43" s="66">
        <f t="shared" si="6"/>
        <v>960</v>
      </c>
    </row>
    <row r="44" spans="1:36" s="66" customFormat="1" ht="0.75" customHeight="1" x14ac:dyDescent="0.3">
      <c r="A44" s="68"/>
      <c r="B44" s="68">
        <f>IF(B59,1,0)</f>
        <v>1</v>
      </c>
      <c r="C44" s="68"/>
      <c r="D44" s="68"/>
      <c r="E44" s="68"/>
      <c r="F44" s="68">
        <f t="shared" si="12"/>
        <v>1</v>
      </c>
      <c r="G44" s="68" t="s">
        <v>53</v>
      </c>
      <c r="H44" s="66" t="s">
        <v>9</v>
      </c>
      <c r="L44" s="66">
        <f>(L41-L42*$M$37+$M$38)/2</f>
        <v>400</v>
      </c>
      <c r="M44" s="66">
        <f>(M41-M42*$L$37+$L$38)/2</f>
        <v>1200</v>
      </c>
      <c r="N44" s="66">
        <f>(N41-N42*$L$37+$L$38)/2</f>
        <v>1600</v>
      </c>
      <c r="O44" s="66">
        <f>M38+O42*(O43-M37)</f>
        <v>985.64064605510202</v>
      </c>
      <c r="V44" s="68">
        <f>$F$42*128</f>
        <v>128</v>
      </c>
      <c r="W44" s="68">
        <v>400</v>
      </c>
      <c r="X44" s="66">
        <f t="shared" si="0"/>
        <v>51.666666666666671</v>
      </c>
      <c r="Y44" s="66">
        <v>24</v>
      </c>
      <c r="Z44" s="66">
        <f t="shared" si="1"/>
        <v>4032</v>
      </c>
      <c r="AA44" s="66">
        <f t="shared" si="7"/>
        <v>116.33333333333333</v>
      </c>
      <c r="AB44" s="66">
        <f t="shared" si="2"/>
        <v>116.33333333333333</v>
      </c>
      <c r="AC44" s="66">
        <f t="shared" si="3"/>
        <v>1240</v>
      </c>
      <c r="AE44" s="66">
        <f t="shared" si="8"/>
        <v>65.714285714285708</v>
      </c>
      <c r="AF44" s="66">
        <v>28</v>
      </c>
      <c r="AG44" s="66">
        <f t="shared" si="9"/>
        <v>3984</v>
      </c>
      <c r="AH44" s="66">
        <f t="shared" si="10"/>
        <v>102.28571428571429</v>
      </c>
      <c r="AI44" s="66">
        <f t="shared" si="5"/>
        <v>102.28571428571429</v>
      </c>
      <c r="AJ44" s="66">
        <f t="shared" si="6"/>
        <v>1120</v>
      </c>
    </row>
    <row r="45" spans="1:36" s="66" customFormat="1" ht="0.75" customHeight="1" x14ac:dyDescent="0.3">
      <c r="B45" s="68">
        <f>IF(B60,1,0)</f>
        <v>1</v>
      </c>
      <c r="C45" s="68"/>
      <c r="D45" s="68">
        <f>IF(D60,1,0)</f>
        <v>1</v>
      </c>
      <c r="E45" s="68"/>
      <c r="F45" s="68">
        <f t="shared" si="12"/>
        <v>1</v>
      </c>
      <c r="H45" s="66" t="s">
        <v>7</v>
      </c>
      <c r="L45" s="66">
        <f>(L43-$M$37)*(L44-$M$38)</f>
        <v>64000</v>
      </c>
      <c r="M45" s="66">
        <f>(M43-$L$37)*(M44-$L$38)</f>
        <v>85333.333333333328</v>
      </c>
      <c r="N45" s="66">
        <f>(N43-$L$37)*(N44-$L$38)</f>
        <v>133333.33333333334</v>
      </c>
      <c r="Q45" s="66" t="s">
        <v>18</v>
      </c>
      <c r="R45" s="66" t="s">
        <v>19</v>
      </c>
      <c r="S45" s="66" t="s">
        <v>17</v>
      </c>
      <c r="U45" s="66" t="s">
        <v>55</v>
      </c>
      <c r="V45" s="68">
        <f>$F$42*128</f>
        <v>128</v>
      </c>
      <c r="W45" s="68">
        <v>400</v>
      </c>
      <c r="X45" s="66">
        <f t="shared" si="0"/>
        <v>52.307692307692307</v>
      </c>
      <c r="Y45" s="66">
        <v>26</v>
      </c>
      <c r="Z45" s="66">
        <f t="shared" si="1"/>
        <v>4368</v>
      </c>
      <c r="AA45" s="66">
        <f t="shared" si="7"/>
        <v>115.69230769230769</v>
      </c>
      <c r="AB45" s="66">
        <f t="shared" si="2"/>
        <v>115.69230769230769</v>
      </c>
      <c r="AC45" s="66">
        <f t="shared" si="3"/>
        <v>1360</v>
      </c>
      <c r="AE45" s="66">
        <f t="shared" si="8"/>
        <v>67.5</v>
      </c>
      <c r="AF45" s="66">
        <v>32</v>
      </c>
      <c r="AG45" s="66">
        <f t="shared" si="9"/>
        <v>4496</v>
      </c>
      <c r="AH45" s="66">
        <f t="shared" si="10"/>
        <v>100.5</v>
      </c>
      <c r="AI45" s="66">
        <f t="shared" si="5"/>
        <v>100.5</v>
      </c>
      <c r="AJ45" s="66">
        <f t="shared" si="6"/>
        <v>1280</v>
      </c>
    </row>
    <row r="46" spans="1:36" s="66" customFormat="1" ht="0.75" customHeight="1" x14ac:dyDescent="0.3">
      <c r="B46" s="69" t="s">
        <v>57</v>
      </c>
      <c r="C46" s="69"/>
      <c r="D46" s="69" t="s">
        <v>82</v>
      </c>
      <c r="E46" s="69"/>
      <c r="F46" s="69" t="s">
        <v>83</v>
      </c>
      <c r="H46" s="66" t="s">
        <v>39</v>
      </c>
      <c r="L46" s="66" t="s">
        <v>6</v>
      </c>
      <c r="M46" s="66" t="s">
        <v>13</v>
      </c>
      <c r="N46" s="66" t="s">
        <v>8</v>
      </c>
      <c r="O46" s="67" t="s">
        <v>44</v>
      </c>
      <c r="Q46" s="68">
        <f>168*$A$50</f>
        <v>168</v>
      </c>
      <c r="R46" s="68">
        <f>128*$A$49</f>
        <v>128</v>
      </c>
      <c r="S46" s="68">
        <v>2400</v>
      </c>
      <c r="T46" s="66">
        <f>IF(A49,40,-100)</f>
        <v>40</v>
      </c>
      <c r="U46" s="66">
        <v>40</v>
      </c>
      <c r="V46" s="68">
        <f>$F$42*168</f>
        <v>168</v>
      </c>
      <c r="W46" s="68">
        <v>0</v>
      </c>
      <c r="X46" s="66">
        <f t="shared" si="0"/>
        <v>52.857142857142861</v>
      </c>
      <c r="Y46" s="66">
        <v>28</v>
      </c>
      <c r="Z46" s="66">
        <f t="shared" si="1"/>
        <v>4704</v>
      </c>
      <c r="AA46" s="66">
        <f t="shared" si="7"/>
        <v>115.14285714285714</v>
      </c>
      <c r="AB46" s="66">
        <f t="shared" si="2"/>
        <v>115.14285714285714</v>
      </c>
      <c r="AC46" s="66">
        <f t="shared" si="3"/>
        <v>1480</v>
      </c>
      <c r="AE46" s="66">
        <f t="shared" si="8"/>
        <v>68.888888888888886</v>
      </c>
      <c r="AF46" s="66">
        <v>36</v>
      </c>
      <c r="AG46" s="66">
        <f t="shared" si="9"/>
        <v>5008</v>
      </c>
      <c r="AH46" s="66">
        <f t="shared" si="10"/>
        <v>99.111111111111114</v>
      </c>
      <c r="AI46" s="66">
        <f t="shared" si="5"/>
        <v>99.111111111111114</v>
      </c>
      <c r="AJ46" s="66">
        <f t="shared" si="6"/>
        <v>1440</v>
      </c>
    </row>
    <row r="47" spans="1:36" s="66" customFormat="1" ht="0.75" customHeight="1" x14ac:dyDescent="0.3">
      <c r="A47" s="68">
        <f>IF(G55,1,0)</f>
        <v>1</v>
      </c>
      <c r="B47" s="69" t="s">
        <v>62</v>
      </c>
      <c r="C47" s="69"/>
      <c r="D47" s="68"/>
      <c r="E47" s="68"/>
      <c r="F47" s="68"/>
      <c r="H47" s="66">
        <v>1</v>
      </c>
      <c r="L47" s="66">
        <f>IF(A$43=1,IF($H47&gt;$M$37,L$45/($H47-$M$37)+$M$38,20000),-10000)</f>
        <v>20000</v>
      </c>
      <c r="M47" s="66">
        <f t="shared" ref="M47:M78" si="13">IF(F$43=1,IF($H47&gt;$L$37,M$45/($H47-$L$37)+$L$38,20000),-1000)</f>
        <v>20000</v>
      </c>
      <c r="N47" s="66">
        <f t="shared" ref="N47:N78" si="14">B$43*IF($H47&gt;$L$37,N$45/($H47-$L$37)+$L$38,20000)</f>
        <v>20000</v>
      </c>
      <c r="O47" s="67" t="s">
        <v>43</v>
      </c>
      <c r="Q47" s="68">
        <f>168*$A$50</f>
        <v>168</v>
      </c>
      <c r="R47" s="68">
        <f>128*$A$49</f>
        <v>128</v>
      </c>
      <c r="S47" s="68">
        <v>0</v>
      </c>
      <c r="T47" s="66">
        <f>T46</f>
        <v>40</v>
      </c>
      <c r="U47" s="66">
        <v>0</v>
      </c>
      <c r="V47" s="68">
        <f>$F$42*168</f>
        <v>168</v>
      </c>
      <c r="W47" s="68">
        <v>0</v>
      </c>
      <c r="X47" s="66">
        <f t="shared" si="0"/>
        <v>53.333333333333329</v>
      </c>
      <c r="Y47" s="66">
        <v>30</v>
      </c>
      <c r="Z47" s="66">
        <f t="shared" si="1"/>
        <v>5040</v>
      </c>
      <c r="AA47" s="66">
        <f t="shared" si="7"/>
        <v>114.66666666666667</v>
      </c>
      <c r="AB47" s="66">
        <f t="shared" si="2"/>
        <v>114.66666666666667</v>
      </c>
      <c r="AC47" s="66">
        <f t="shared" si="3"/>
        <v>1600</v>
      </c>
      <c r="AE47" s="66">
        <f t="shared" si="8"/>
        <v>70</v>
      </c>
      <c r="AF47" s="66">
        <v>40</v>
      </c>
      <c r="AG47" s="66">
        <f t="shared" si="9"/>
        <v>5520</v>
      </c>
      <c r="AH47" s="66">
        <f t="shared" si="10"/>
        <v>98</v>
      </c>
      <c r="AI47" s="66">
        <f t="shared" si="5"/>
        <v>98</v>
      </c>
      <c r="AJ47" s="66">
        <f t="shared" si="6"/>
        <v>1600</v>
      </c>
    </row>
    <row r="48" spans="1:36" s="66" customFormat="1" ht="0.75" customHeight="1" x14ac:dyDescent="0.3">
      <c r="A48" s="68">
        <f>IF(G56,1,0)</f>
        <v>1</v>
      </c>
      <c r="B48" s="69" t="s">
        <v>86</v>
      </c>
      <c r="C48" s="69"/>
      <c r="H48" s="66">
        <v>2</v>
      </c>
      <c r="L48" s="66">
        <f t="shared" ref="L48:L111" si="15">IF(A$43=1,IF($H48&gt;$M$37,L$45/($H48-$M$37)+$M$38,20000),-10000)</f>
        <v>20000</v>
      </c>
      <c r="M48" s="66">
        <f t="shared" si="13"/>
        <v>20000</v>
      </c>
      <c r="N48" s="66">
        <f t="shared" si="14"/>
        <v>20000</v>
      </c>
      <c r="X48" s="66">
        <f t="shared" si="0"/>
        <v>53.75</v>
      </c>
      <c r="Y48" s="66">
        <v>32</v>
      </c>
      <c r="Z48" s="66">
        <f t="shared" si="1"/>
        <v>5376</v>
      </c>
      <c r="AA48" s="66">
        <f t="shared" si="7"/>
        <v>114.25</v>
      </c>
      <c r="AB48" s="66">
        <f t="shared" si="2"/>
        <v>114.25</v>
      </c>
      <c r="AC48" s="66">
        <f t="shared" si="3"/>
        <v>1720</v>
      </c>
      <c r="AE48" s="66">
        <f t="shared" si="8"/>
        <v>70.909090909090907</v>
      </c>
      <c r="AF48" s="66">
        <v>44</v>
      </c>
      <c r="AG48" s="66">
        <f t="shared" si="9"/>
        <v>6032</v>
      </c>
      <c r="AH48" s="66">
        <f t="shared" si="10"/>
        <v>97.090909090909093</v>
      </c>
      <c r="AI48" s="66">
        <f t="shared" si="5"/>
        <v>97.090909090909093</v>
      </c>
      <c r="AJ48" s="66">
        <f t="shared" si="6"/>
        <v>1760</v>
      </c>
    </row>
    <row r="49" spans="1:36" s="66" customFormat="1" ht="0.75" customHeight="1" x14ac:dyDescent="0.3">
      <c r="A49" s="68">
        <f>IF(G57,1,0)</f>
        <v>1</v>
      </c>
      <c r="B49" s="70" t="s">
        <v>37</v>
      </c>
      <c r="C49" s="70"/>
      <c r="H49" s="66">
        <v>3</v>
      </c>
      <c r="L49" s="66">
        <f t="shared" si="15"/>
        <v>20000</v>
      </c>
      <c r="M49" s="66">
        <f t="shared" si="13"/>
        <v>20000</v>
      </c>
      <c r="N49" s="66">
        <f t="shared" si="14"/>
        <v>20000</v>
      </c>
      <c r="Q49" s="66" t="s">
        <v>57</v>
      </c>
      <c r="S49" s="66" t="s">
        <v>59</v>
      </c>
      <c r="U49" s="67" t="s">
        <v>60</v>
      </c>
      <c r="X49" s="66">
        <f t="shared" si="0"/>
        <v>54.117647058823536</v>
      </c>
      <c r="Y49" s="66">
        <v>34</v>
      </c>
      <c r="Z49" s="66">
        <f t="shared" si="1"/>
        <v>5712</v>
      </c>
      <c r="AA49" s="66">
        <f t="shared" si="7"/>
        <v>113.88235294117646</v>
      </c>
      <c r="AB49" s="66">
        <f t="shared" si="2"/>
        <v>113.88235294117646</v>
      </c>
      <c r="AC49" s="66">
        <f t="shared" si="3"/>
        <v>1840</v>
      </c>
      <c r="AE49" s="66">
        <f t="shared" si="8"/>
        <v>71.666666666666671</v>
      </c>
      <c r="AF49" s="66">
        <v>48</v>
      </c>
      <c r="AG49" s="66">
        <f t="shared" si="9"/>
        <v>6544</v>
      </c>
      <c r="AH49" s="66">
        <f t="shared" si="10"/>
        <v>96.333333333333329</v>
      </c>
      <c r="AI49" s="66">
        <f t="shared" si="5"/>
        <v>96.333333333333329</v>
      </c>
      <c r="AJ49" s="66">
        <f t="shared" si="6"/>
        <v>1920</v>
      </c>
    </row>
    <row r="50" spans="1:36" s="66" customFormat="1" ht="0.75" customHeight="1" x14ac:dyDescent="0.3">
      <c r="A50" s="68">
        <f>IF(G58,1,0)</f>
        <v>1</v>
      </c>
      <c r="B50" s="70" t="s">
        <v>38</v>
      </c>
      <c r="C50" s="70"/>
      <c r="H50" s="66">
        <v>4</v>
      </c>
      <c r="L50" s="66">
        <f t="shared" si="15"/>
        <v>20000</v>
      </c>
      <c r="M50" s="66">
        <f t="shared" si="13"/>
        <v>20000</v>
      </c>
      <c r="N50" s="66">
        <f t="shared" si="14"/>
        <v>20000</v>
      </c>
      <c r="P50" s="66">
        <f>IF($B$45,L43,-100)</f>
        <v>128</v>
      </c>
      <c r="Q50" s="66">
        <v>65</v>
      </c>
      <c r="R50" s="66">
        <f>IF($D$45,O43,-100)</f>
        <v>94.188021535170066</v>
      </c>
      <c r="S50" s="66">
        <v>175</v>
      </c>
      <c r="T50" s="66">
        <f>IF(AND($A$51=0,$F$45),O43,-100)</f>
        <v>94.188021535170066</v>
      </c>
      <c r="U50" s="66">
        <v>260</v>
      </c>
      <c r="X50" s="66">
        <f t="shared" si="0"/>
        <v>54.444444444444443</v>
      </c>
      <c r="Y50" s="66">
        <v>36</v>
      </c>
      <c r="Z50" s="66">
        <f t="shared" si="1"/>
        <v>6048</v>
      </c>
      <c r="AA50" s="66">
        <f t="shared" si="7"/>
        <v>113.55555555555556</v>
      </c>
      <c r="AB50" s="66">
        <f t="shared" si="2"/>
        <v>113.55555555555556</v>
      </c>
      <c r="AC50" s="66">
        <f t="shared" si="3"/>
        <v>1960</v>
      </c>
      <c r="AE50" s="66">
        <f t="shared" si="8"/>
        <v>72.307692307692307</v>
      </c>
      <c r="AF50" s="66">
        <v>52</v>
      </c>
      <c r="AG50" s="66">
        <f t="shared" si="9"/>
        <v>7056</v>
      </c>
      <c r="AH50" s="66">
        <f t="shared" si="10"/>
        <v>95.692307692307693</v>
      </c>
      <c r="AI50" s="66">
        <f t="shared" si="5"/>
        <v>95.692307692307693</v>
      </c>
      <c r="AJ50" s="66">
        <f t="shared" si="6"/>
        <v>2080</v>
      </c>
    </row>
    <row r="51" spans="1:36" s="66" customFormat="1" ht="0.75" customHeight="1" x14ac:dyDescent="0.3">
      <c r="A51" s="68">
        <f>IF(G59,1,0)</f>
        <v>0</v>
      </c>
      <c r="B51" s="69" t="s">
        <v>54</v>
      </c>
      <c r="C51" s="69"/>
      <c r="H51" s="66">
        <v>5</v>
      </c>
      <c r="L51" s="66">
        <f t="shared" si="15"/>
        <v>20000</v>
      </c>
      <c r="M51" s="66">
        <f t="shared" si="13"/>
        <v>20000</v>
      </c>
      <c r="N51" s="66">
        <f t="shared" si="14"/>
        <v>20000</v>
      </c>
      <c r="P51" s="66">
        <f>IF($B$45,O43,-100)</f>
        <v>94.188021535170066</v>
      </c>
      <c r="Q51" s="66">
        <v>65</v>
      </c>
      <c r="R51" s="66">
        <f>IF($D$45,N43,-100)</f>
        <v>114.66666666666667</v>
      </c>
      <c r="S51" s="66">
        <v>175</v>
      </c>
      <c r="T51" s="66">
        <f>IF(AND($A$51=0,$F$45),M43,-100)</f>
        <v>101.33333333333333</v>
      </c>
      <c r="U51" s="66">
        <v>260</v>
      </c>
    </row>
    <row r="52" spans="1:36" s="66" customFormat="1" ht="0.75" customHeight="1" x14ac:dyDescent="0.3">
      <c r="H52" s="66">
        <v>6</v>
      </c>
      <c r="L52" s="66">
        <f t="shared" si="15"/>
        <v>20000</v>
      </c>
      <c r="M52" s="66">
        <f t="shared" si="13"/>
        <v>20000</v>
      </c>
      <c r="N52" s="66">
        <f t="shared" si="14"/>
        <v>20000</v>
      </c>
      <c r="P52" s="66">
        <f>168-P50</f>
        <v>40</v>
      </c>
      <c r="Q52" s="66">
        <v>1</v>
      </c>
      <c r="R52" s="66">
        <f>168-R50</f>
        <v>73.811978464829934</v>
      </c>
      <c r="S52" s="66">
        <v>2.8</v>
      </c>
      <c r="T52" s="66">
        <f>168-T50</f>
        <v>73.811978464829934</v>
      </c>
      <c r="U52" s="66">
        <v>4.4000000000000004</v>
      </c>
      <c r="X52" s="66" t="s">
        <v>61</v>
      </c>
      <c r="Y52" s="68" t="s">
        <v>46</v>
      </c>
      <c r="Z52" s="68" t="s">
        <v>27</v>
      </c>
      <c r="AA52" s="66" t="s">
        <v>47</v>
      </c>
      <c r="AB52" s="68" t="s">
        <v>41</v>
      </c>
    </row>
    <row r="53" spans="1:36" s="66" customFormat="1" ht="0.75" customHeight="1" x14ac:dyDescent="0.3">
      <c r="A53" s="71">
        <v>100</v>
      </c>
      <c r="B53" s="67" t="s">
        <v>33</v>
      </c>
      <c r="C53" s="67"/>
      <c r="H53" s="66">
        <v>7</v>
      </c>
      <c r="L53" s="66">
        <f t="shared" si="15"/>
        <v>20000</v>
      </c>
      <c r="M53" s="66">
        <f t="shared" si="13"/>
        <v>20000</v>
      </c>
      <c r="N53" s="66">
        <f t="shared" si="14"/>
        <v>20000</v>
      </c>
      <c r="P53" s="66">
        <f>168-P51</f>
        <v>73.811978464829934</v>
      </c>
      <c r="Q53" s="66">
        <v>1</v>
      </c>
      <c r="R53" s="66">
        <f>168-R51</f>
        <v>53.333333333333329</v>
      </c>
      <c r="S53" s="66">
        <v>2.8</v>
      </c>
      <c r="T53" s="66">
        <f>168-T51</f>
        <v>66.666666666666671</v>
      </c>
      <c r="U53" s="66">
        <v>4.4000000000000004</v>
      </c>
      <c r="AB53" s="66">
        <f t="shared" ref="AB53:AB78" si="16">(168-Z53)*Y53</f>
        <v>0</v>
      </c>
    </row>
    <row r="54" spans="1:36" s="66" customFormat="1" ht="0.75" customHeight="1" x14ac:dyDescent="0.3">
      <c r="A54" s="71">
        <v>500</v>
      </c>
      <c r="B54" s="66" t="s">
        <v>88</v>
      </c>
      <c r="H54" s="66">
        <v>8</v>
      </c>
      <c r="L54" s="66">
        <f t="shared" si="15"/>
        <v>20000</v>
      </c>
      <c r="M54" s="66">
        <f t="shared" si="13"/>
        <v>20000</v>
      </c>
      <c r="N54" s="66">
        <f t="shared" si="14"/>
        <v>20000</v>
      </c>
      <c r="X54" s="66">
        <f t="shared" ref="X54:X78" si="17">IF(AND($A$47,$A$51),168-Z54,-100)</f>
        <v>-100</v>
      </c>
      <c r="Y54" s="66">
        <v>6</v>
      </c>
      <c r="Z54" s="66">
        <f>AE54</f>
        <v>142.667</v>
      </c>
      <c r="AA54" s="66">
        <f t="shared" ref="AA54:AA78" si="18">IF(AND($B$44,$A$51),Z54,-100)</f>
        <v>-100</v>
      </c>
      <c r="AB54" s="66">
        <f t="shared" si="16"/>
        <v>151.99799999999999</v>
      </c>
      <c r="AD54" s="66">
        <v>6</v>
      </c>
      <c r="AE54" s="66">
        <v>142.667</v>
      </c>
      <c r="AF54" s="66">
        <v>141.33000000000001</v>
      </c>
    </row>
    <row r="55" spans="1:36" s="66" customFormat="1" ht="0.75" customHeight="1" x14ac:dyDescent="0.3">
      <c r="A55" s="72" t="b">
        <v>1</v>
      </c>
      <c r="B55" s="72" t="b">
        <v>1</v>
      </c>
      <c r="D55" s="72" t="b">
        <v>1</v>
      </c>
      <c r="F55" s="72" t="b">
        <v>1</v>
      </c>
      <c r="G55" s="72" t="b">
        <v>1</v>
      </c>
      <c r="H55" s="66">
        <v>9</v>
      </c>
      <c r="L55" s="66">
        <f t="shared" si="15"/>
        <v>20000</v>
      </c>
      <c r="M55" s="66">
        <f t="shared" si="13"/>
        <v>20000</v>
      </c>
      <c r="N55" s="66">
        <f t="shared" si="14"/>
        <v>20000</v>
      </c>
      <c r="P55" s="68" t="s">
        <v>63</v>
      </c>
      <c r="Q55" s="68" t="s">
        <v>65</v>
      </c>
      <c r="R55" s="68" t="s">
        <v>64</v>
      </c>
      <c r="S55" s="68" t="s">
        <v>66</v>
      </c>
      <c r="U55" s="68" t="s">
        <v>108</v>
      </c>
      <c r="X55" s="66">
        <f t="shared" si="17"/>
        <v>-100</v>
      </c>
      <c r="Y55" s="66">
        <v>7.5</v>
      </c>
      <c r="Z55" s="66">
        <f t="shared" ref="Z55:Z78" si="19">AE55</f>
        <v>135.083</v>
      </c>
      <c r="AA55" s="66">
        <f t="shared" si="18"/>
        <v>-100</v>
      </c>
      <c r="AB55" s="66">
        <f t="shared" si="16"/>
        <v>246.8775</v>
      </c>
      <c r="AD55" s="66">
        <v>7.5</v>
      </c>
      <c r="AE55" s="66">
        <v>135.083</v>
      </c>
      <c r="AF55" s="66">
        <v>134.042</v>
      </c>
    </row>
    <row r="56" spans="1:36" s="66" customFormat="1" ht="0.75" customHeight="1" x14ac:dyDescent="0.3">
      <c r="A56" s="72" t="b">
        <v>1</v>
      </c>
      <c r="B56" s="72" t="b">
        <v>1</v>
      </c>
      <c r="D56" s="72" t="b">
        <v>1</v>
      </c>
      <c r="F56" s="72" t="b">
        <v>1</v>
      </c>
      <c r="G56" s="72" t="b">
        <v>1</v>
      </c>
      <c r="H56" s="66">
        <v>10</v>
      </c>
      <c r="L56" s="66">
        <f t="shared" si="15"/>
        <v>20000</v>
      </c>
      <c r="M56" s="66">
        <f t="shared" si="13"/>
        <v>20000</v>
      </c>
      <c r="N56" s="66">
        <f t="shared" si="14"/>
        <v>20000</v>
      </c>
      <c r="P56" s="68">
        <f>IF(A$40,0,-100)</f>
        <v>0</v>
      </c>
      <c r="Q56" s="68">
        <f>IF(F$40,0,-100)</f>
        <v>0</v>
      </c>
      <c r="R56" s="68">
        <f>IF(B$40,0,-100)</f>
        <v>0</v>
      </c>
      <c r="S56" s="68">
        <f>IF(D$40,0,-100)</f>
        <v>0</v>
      </c>
      <c r="T56" s="66">
        <f>IF(AND($G$57,$G$58),128,-1000)</f>
        <v>128</v>
      </c>
      <c r="U56" s="66">
        <v>2100</v>
      </c>
      <c r="X56" s="66">
        <f t="shared" si="17"/>
        <v>-100</v>
      </c>
      <c r="Y56" s="66">
        <v>9</v>
      </c>
      <c r="Z56" s="66">
        <f t="shared" si="19"/>
        <v>130.27799999999999</v>
      </c>
      <c r="AA56" s="66">
        <f t="shared" si="18"/>
        <v>-100</v>
      </c>
      <c r="AB56" s="66">
        <f t="shared" si="16"/>
        <v>339.49800000000005</v>
      </c>
      <c r="AD56" s="66">
        <v>9</v>
      </c>
      <c r="AE56" s="66">
        <v>130.27799999999999</v>
      </c>
      <c r="AF56" s="66">
        <v>129.80600000000001</v>
      </c>
    </row>
    <row r="57" spans="1:36" s="66" customFormat="1" ht="0.75" customHeight="1" x14ac:dyDescent="0.3">
      <c r="A57" s="72" t="b">
        <v>1</v>
      </c>
      <c r="B57" s="72" t="b">
        <v>1</v>
      </c>
      <c r="D57" s="72" t="b">
        <v>1</v>
      </c>
      <c r="F57" s="72" t="b">
        <v>1</v>
      </c>
      <c r="G57" s="72" t="b">
        <v>1</v>
      </c>
      <c r="H57" s="66">
        <v>11</v>
      </c>
      <c r="L57" s="66">
        <f t="shared" si="15"/>
        <v>20000</v>
      </c>
      <c r="M57" s="66">
        <f t="shared" si="13"/>
        <v>20000</v>
      </c>
      <c r="N57" s="66">
        <f t="shared" si="14"/>
        <v>20000</v>
      </c>
      <c r="P57" s="68">
        <f>IF(A$40,168-L43,-100)</f>
        <v>40</v>
      </c>
      <c r="Q57" s="68">
        <f>IF(F$40,168-M43,-100)</f>
        <v>66.666666666666671</v>
      </c>
      <c r="R57" s="68">
        <f>IF(B$40,168-N43,-100)</f>
        <v>53.333333333333329</v>
      </c>
      <c r="S57" s="68">
        <f>IF(D$40,168-O43,-100)</f>
        <v>73.811978464829934</v>
      </c>
      <c r="T57" s="66">
        <f>IF(AND($G$57,$G$58),168,-1000)</f>
        <v>168</v>
      </c>
      <c r="U57" s="66">
        <v>2100</v>
      </c>
      <c r="X57" s="66">
        <f t="shared" si="17"/>
        <v>-100</v>
      </c>
      <c r="Y57" s="66">
        <v>10</v>
      </c>
      <c r="Z57" s="66">
        <f t="shared" si="19"/>
        <v>128</v>
      </c>
      <c r="AA57" s="66">
        <f t="shared" si="18"/>
        <v>-100</v>
      </c>
      <c r="AB57" s="66">
        <f t="shared" si="16"/>
        <v>400</v>
      </c>
      <c r="AD57" s="66">
        <v>10</v>
      </c>
      <c r="AE57" s="66">
        <v>128</v>
      </c>
      <c r="AF57" s="66">
        <v>128</v>
      </c>
    </row>
    <row r="58" spans="1:36" s="66" customFormat="1" ht="0.75" customHeight="1" x14ac:dyDescent="0.3">
      <c r="A58" s="72" t="b">
        <v>1</v>
      </c>
      <c r="B58" s="72" t="b">
        <v>1</v>
      </c>
      <c r="F58" s="72" t="b">
        <v>1</v>
      </c>
      <c r="G58" s="72" t="b">
        <v>1</v>
      </c>
      <c r="H58" s="66">
        <v>12</v>
      </c>
      <c r="L58" s="66">
        <f t="shared" si="15"/>
        <v>20000</v>
      </c>
      <c r="M58" s="66">
        <f t="shared" si="13"/>
        <v>20000</v>
      </c>
      <c r="N58" s="66">
        <f t="shared" si="14"/>
        <v>20000</v>
      </c>
      <c r="P58" s="68">
        <f>P57</f>
        <v>40</v>
      </c>
      <c r="Q58" s="68">
        <f>Q57</f>
        <v>66.666666666666671</v>
      </c>
      <c r="R58" s="68">
        <f>R57</f>
        <v>53.333333333333329</v>
      </c>
      <c r="S58" s="68">
        <f>S57</f>
        <v>73.811978464829934</v>
      </c>
      <c r="X58" s="66">
        <f t="shared" si="17"/>
        <v>-100</v>
      </c>
      <c r="Y58" s="66">
        <v>11</v>
      </c>
      <c r="Z58" s="66">
        <f t="shared" si="19"/>
        <v>126.227</v>
      </c>
      <c r="AA58" s="66">
        <f t="shared" si="18"/>
        <v>-100</v>
      </c>
      <c r="AB58" s="66">
        <f t="shared" si="16"/>
        <v>459.50299999999993</v>
      </c>
      <c r="AD58" s="66">
        <v>11</v>
      </c>
      <c r="AE58" s="66">
        <v>126.227</v>
      </c>
      <c r="AF58" s="66">
        <v>126.75</v>
      </c>
    </row>
    <row r="59" spans="1:36" s="66" customFormat="1" ht="0.75" customHeight="1" x14ac:dyDescent="0.3">
      <c r="B59" s="72" t="b">
        <v>1</v>
      </c>
      <c r="F59" s="72" t="b">
        <v>1</v>
      </c>
      <c r="G59" s="72" t="b">
        <v>0</v>
      </c>
      <c r="H59" s="66">
        <v>13</v>
      </c>
      <c r="L59" s="66">
        <f t="shared" si="15"/>
        <v>20000</v>
      </c>
      <c r="M59" s="66">
        <f t="shared" si="13"/>
        <v>20000</v>
      </c>
      <c r="N59" s="66">
        <f t="shared" si="14"/>
        <v>20000</v>
      </c>
      <c r="P59" s="68" t="s">
        <v>67</v>
      </c>
      <c r="Q59" s="68" t="s">
        <v>67</v>
      </c>
      <c r="R59" s="68" t="s">
        <v>67</v>
      </c>
      <c r="S59" s="68" t="s">
        <v>67</v>
      </c>
      <c r="X59" s="66">
        <f t="shared" si="17"/>
        <v>-100</v>
      </c>
      <c r="Y59" s="66">
        <v>12</v>
      </c>
      <c r="Z59" s="66">
        <f t="shared" si="19"/>
        <v>124.833</v>
      </c>
      <c r="AA59" s="66">
        <f t="shared" si="18"/>
        <v>-100</v>
      </c>
      <c r="AB59" s="66">
        <f t="shared" si="16"/>
        <v>518.00400000000002</v>
      </c>
      <c r="AD59" s="66">
        <v>12</v>
      </c>
      <c r="AE59" s="66">
        <v>124.833</v>
      </c>
      <c r="AF59" s="66">
        <v>125.917</v>
      </c>
    </row>
    <row r="60" spans="1:36" s="66" customFormat="1" ht="0.75" customHeight="1" x14ac:dyDescent="0.3">
      <c r="B60" s="72" t="b">
        <v>1</v>
      </c>
      <c r="D60" s="72" t="b">
        <v>1</v>
      </c>
      <c r="F60" s="72" t="b">
        <v>1</v>
      </c>
      <c r="H60" s="66">
        <v>14</v>
      </c>
      <c r="L60" s="66">
        <f t="shared" si="15"/>
        <v>20000</v>
      </c>
      <c r="M60" s="66">
        <f t="shared" si="13"/>
        <v>20000</v>
      </c>
      <c r="N60" s="66">
        <f t="shared" si="14"/>
        <v>20000</v>
      </c>
      <c r="P60" s="68">
        <f>L42</f>
        <v>10</v>
      </c>
      <c r="Q60" s="68">
        <f>M42</f>
        <v>30</v>
      </c>
      <c r="R60" s="68">
        <f>N42</f>
        <v>30</v>
      </c>
      <c r="S60" s="68">
        <f>O42</f>
        <v>30</v>
      </c>
      <c r="X60" s="66">
        <f t="shared" si="17"/>
        <v>-100</v>
      </c>
      <c r="Y60" s="66">
        <v>13</v>
      </c>
      <c r="Z60" s="66">
        <f t="shared" si="19"/>
        <v>123.73099999999999</v>
      </c>
      <c r="AA60" s="66">
        <f t="shared" si="18"/>
        <v>-100</v>
      </c>
      <c r="AB60" s="66">
        <f t="shared" si="16"/>
        <v>575.49700000000007</v>
      </c>
      <c r="AD60" s="66">
        <v>13</v>
      </c>
      <c r="AE60" s="66">
        <v>123.73099999999999</v>
      </c>
      <c r="AF60" s="66">
        <v>125.404</v>
      </c>
    </row>
    <row r="61" spans="1:36" s="66" customFormat="1" ht="0.75" customHeight="1" x14ac:dyDescent="0.3">
      <c r="H61" s="66">
        <v>15</v>
      </c>
      <c r="L61" s="66">
        <f t="shared" si="15"/>
        <v>20000</v>
      </c>
      <c r="M61" s="66">
        <f t="shared" si="13"/>
        <v>20000</v>
      </c>
      <c r="N61" s="66">
        <f t="shared" si="14"/>
        <v>20000</v>
      </c>
      <c r="P61" s="68">
        <f>L42</f>
        <v>10</v>
      </c>
      <c r="Q61" s="68">
        <f>M42</f>
        <v>30</v>
      </c>
      <c r="R61" s="68">
        <f>N42</f>
        <v>30</v>
      </c>
      <c r="S61" s="68">
        <f>O42</f>
        <v>30</v>
      </c>
      <c r="X61" s="66">
        <f t="shared" si="17"/>
        <v>-100</v>
      </c>
      <c r="Y61" s="66">
        <v>14</v>
      </c>
      <c r="Z61" s="66">
        <f t="shared" si="19"/>
        <v>122.857</v>
      </c>
      <c r="AA61" s="66">
        <f t="shared" si="18"/>
        <v>-100</v>
      </c>
      <c r="AB61" s="66">
        <f t="shared" si="16"/>
        <v>632.00199999999995</v>
      </c>
      <c r="AD61" s="66">
        <v>14</v>
      </c>
      <c r="AE61" s="66">
        <v>122.857</v>
      </c>
      <c r="AF61" s="66">
        <v>125.143</v>
      </c>
    </row>
    <row r="62" spans="1:36" s="66" customFormat="1" ht="0.75" customHeight="1" x14ac:dyDescent="0.3">
      <c r="H62" s="66">
        <v>16</v>
      </c>
      <c r="L62" s="66">
        <f t="shared" si="15"/>
        <v>20000</v>
      </c>
      <c r="M62" s="66">
        <f t="shared" si="13"/>
        <v>20000</v>
      </c>
      <c r="N62" s="66">
        <f t="shared" si="14"/>
        <v>20000</v>
      </c>
      <c r="P62" s="68">
        <v>0</v>
      </c>
      <c r="Q62" s="68">
        <v>0</v>
      </c>
      <c r="R62" s="68">
        <v>0</v>
      </c>
      <c r="S62" s="68">
        <v>0</v>
      </c>
      <c r="X62" s="66">
        <f t="shared" si="17"/>
        <v>-100</v>
      </c>
      <c r="Y62" s="66">
        <v>15</v>
      </c>
      <c r="Z62" s="66">
        <f t="shared" si="19"/>
        <v>122.167</v>
      </c>
      <c r="AA62" s="66">
        <f t="shared" si="18"/>
        <v>-100</v>
      </c>
      <c r="AB62" s="66">
        <f t="shared" si="16"/>
        <v>687.495</v>
      </c>
      <c r="AD62" s="66">
        <v>15</v>
      </c>
      <c r="AE62" s="66">
        <v>122.167</v>
      </c>
      <c r="AF62" s="66">
        <v>125.083</v>
      </c>
    </row>
    <row r="63" spans="1:36" s="66" customFormat="1" ht="0.75" customHeight="1" x14ac:dyDescent="0.3">
      <c r="H63" s="66">
        <v>17</v>
      </c>
      <c r="L63" s="66">
        <f t="shared" si="15"/>
        <v>20000</v>
      </c>
      <c r="M63" s="66">
        <f t="shared" si="13"/>
        <v>20000</v>
      </c>
      <c r="N63" s="66">
        <f t="shared" si="14"/>
        <v>20000</v>
      </c>
      <c r="X63" s="66">
        <f t="shared" si="17"/>
        <v>-100</v>
      </c>
      <c r="Y63" s="66">
        <v>16</v>
      </c>
      <c r="Z63" s="66">
        <f t="shared" si="19"/>
        <v>121.625</v>
      </c>
      <c r="AA63" s="66">
        <f t="shared" si="18"/>
        <v>-100</v>
      </c>
      <c r="AB63" s="66">
        <f t="shared" si="16"/>
        <v>742</v>
      </c>
      <c r="AD63" s="66">
        <v>16</v>
      </c>
      <c r="AE63" s="66">
        <v>121.625</v>
      </c>
      <c r="AF63" s="66">
        <v>125.188</v>
      </c>
    </row>
    <row r="64" spans="1:36" s="66" customFormat="1" ht="0.75" customHeight="1" x14ac:dyDescent="0.3">
      <c r="H64" s="66">
        <v>18</v>
      </c>
      <c r="L64" s="66">
        <f t="shared" si="15"/>
        <v>20000</v>
      </c>
      <c r="M64" s="66">
        <f t="shared" si="13"/>
        <v>20000</v>
      </c>
      <c r="N64" s="66">
        <f t="shared" si="14"/>
        <v>20000</v>
      </c>
      <c r="X64" s="66">
        <f t="shared" si="17"/>
        <v>-100</v>
      </c>
      <c r="Y64" s="66">
        <v>17</v>
      </c>
      <c r="Z64" s="66">
        <f t="shared" si="19"/>
        <v>121.206</v>
      </c>
      <c r="AA64" s="66">
        <f t="shared" si="18"/>
        <v>-100</v>
      </c>
      <c r="AB64" s="66">
        <f t="shared" si="16"/>
        <v>795.49799999999993</v>
      </c>
      <c r="AD64" s="66">
        <v>17</v>
      </c>
      <c r="AE64" s="66">
        <v>121.206</v>
      </c>
      <c r="AF64" s="66">
        <v>125.426</v>
      </c>
    </row>
    <row r="65" spans="8:32" s="66" customFormat="1" ht="0.75" customHeight="1" x14ac:dyDescent="0.3">
      <c r="H65" s="66">
        <v>19</v>
      </c>
      <c r="L65" s="66">
        <f t="shared" si="15"/>
        <v>20000</v>
      </c>
      <c r="M65" s="66">
        <f t="shared" si="13"/>
        <v>20000</v>
      </c>
      <c r="N65" s="66">
        <f t="shared" si="14"/>
        <v>20000</v>
      </c>
      <c r="X65" s="66">
        <f t="shared" si="17"/>
        <v>-100</v>
      </c>
      <c r="Y65" s="66">
        <v>18</v>
      </c>
      <c r="Z65" s="66">
        <f t="shared" si="19"/>
        <v>120.889</v>
      </c>
      <c r="AA65" s="66">
        <f t="shared" si="18"/>
        <v>-100</v>
      </c>
      <c r="AB65" s="66">
        <f t="shared" si="16"/>
        <v>847.99800000000005</v>
      </c>
      <c r="AD65" s="66">
        <v>18</v>
      </c>
      <c r="AE65" s="66">
        <v>120.889</v>
      </c>
      <c r="AF65" s="66">
        <v>125.77800000000001</v>
      </c>
    </row>
    <row r="66" spans="8:32" s="66" customFormat="1" ht="0.75" customHeight="1" x14ac:dyDescent="0.3">
      <c r="H66" s="66">
        <v>20</v>
      </c>
      <c r="L66" s="66">
        <f t="shared" si="15"/>
        <v>20000</v>
      </c>
      <c r="M66" s="66">
        <f t="shared" si="13"/>
        <v>20000</v>
      </c>
      <c r="N66" s="66">
        <f t="shared" si="14"/>
        <v>20000</v>
      </c>
      <c r="X66" s="66">
        <f t="shared" si="17"/>
        <v>-100</v>
      </c>
      <c r="Y66" s="66">
        <v>19</v>
      </c>
      <c r="Z66" s="66">
        <f t="shared" si="19"/>
        <v>121.13200000000001</v>
      </c>
      <c r="AA66" s="66">
        <f t="shared" si="18"/>
        <v>-100</v>
      </c>
      <c r="AB66" s="66">
        <f t="shared" si="16"/>
        <v>890.49199999999996</v>
      </c>
      <c r="AD66" s="66">
        <v>19</v>
      </c>
      <c r="AE66" s="66">
        <v>121.13200000000001</v>
      </c>
      <c r="AF66" s="66">
        <v>126.224</v>
      </c>
    </row>
    <row r="67" spans="8:32" s="66" customFormat="1" ht="0.75" customHeight="1" x14ac:dyDescent="0.3">
      <c r="H67" s="66">
        <v>21</v>
      </c>
      <c r="L67" s="66">
        <f t="shared" si="15"/>
        <v>20000</v>
      </c>
      <c r="M67" s="66">
        <f t="shared" si="13"/>
        <v>20000</v>
      </c>
      <c r="N67" s="66">
        <f t="shared" si="14"/>
        <v>20000</v>
      </c>
      <c r="X67" s="66">
        <f t="shared" si="17"/>
        <v>-100</v>
      </c>
      <c r="Y67" s="66">
        <v>20</v>
      </c>
      <c r="Z67" s="66">
        <f t="shared" si="19"/>
        <v>121.5</v>
      </c>
      <c r="AA67" s="66">
        <f t="shared" si="18"/>
        <v>-100</v>
      </c>
      <c r="AB67" s="66">
        <f t="shared" si="16"/>
        <v>930</v>
      </c>
      <c r="AD67" s="66">
        <v>20</v>
      </c>
      <c r="AE67" s="66">
        <v>121.5</v>
      </c>
      <c r="AF67" s="66">
        <v>126.75</v>
      </c>
    </row>
    <row r="68" spans="8:32" s="66" customFormat="1" ht="0.75" customHeight="1" x14ac:dyDescent="0.3">
      <c r="H68" s="66">
        <v>22</v>
      </c>
      <c r="L68" s="66">
        <f t="shared" si="15"/>
        <v>20000</v>
      </c>
      <c r="M68" s="66">
        <f t="shared" si="13"/>
        <v>20000</v>
      </c>
      <c r="N68" s="66">
        <f t="shared" si="14"/>
        <v>20000</v>
      </c>
      <c r="X68" s="66">
        <f t="shared" si="17"/>
        <v>-100</v>
      </c>
      <c r="Y68" s="66">
        <v>21</v>
      </c>
      <c r="Z68" s="66">
        <f t="shared" si="19"/>
        <v>121.976</v>
      </c>
      <c r="AA68" s="66">
        <f t="shared" si="18"/>
        <v>-100</v>
      </c>
      <c r="AB68" s="66">
        <f t="shared" si="16"/>
        <v>966.50400000000002</v>
      </c>
      <c r="AD68" s="66">
        <v>21</v>
      </c>
      <c r="AE68" s="66">
        <v>121.976</v>
      </c>
      <c r="AF68" s="66">
        <v>127.345</v>
      </c>
    </row>
    <row r="69" spans="8:32" s="66" customFormat="1" ht="0.75" customHeight="1" x14ac:dyDescent="0.3">
      <c r="H69" s="66">
        <v>23</v>
      </c>
      <c r="L69" s="66">
        <f t="shared" si="15"/>
        <v>20000</v>
      </c>
      <c r="M69" s="66">
        <f t="shared" si="13"/>
        <v>20000</v>
      </c>
      <c r="N69" s="66">
        <f t="shared" si="14"/>
        <v>20000</v>
      </c>
      <c r="X69" s="66">
        <f t="shared" si="17"/>
        <v>-100</v>
      </c>
      <c r="Y69" s="66">
        <v>22</v>
      </c>
      <c r="Z69" s="66">
        <f t="shared" si="19"/>
        <v>122.545</v>
      </c>
      <c r="AA69" s="66">
        <f t="shared" si="18"/>
        <v>-100</v>
      </c>
      <c r="AB69" s="66">
        <f t="shared" si="16"/>
        <v>1000.01</v>
      </c>
      <c r="AD69" s="66">
        <v>22</v>
      </c>
      <c r="AE69" s="66">
        <v>122.545</v>
      </c>
      <c r="AF69" s="66">
        <v>128</v>
      </c>
    </row>
    <row r="70" spans="8:32" s="66" customFormat="1" ht="0.75" customHeight="1" x14ac:dyDescent="0.3">
      <c r="H70" s="66">
        <v>24</v>
      </c>
      <c r="L70" s="66">
        <f t="shared" si="15"/>
        <v>20000</v>
      </c>
      <c r="M70" s="66">
        <f t="shared" si="13"/>
        <v>20000</v>
      </c>
      <c r="N70" s="66">
        <f t="shared" si="14"/>
        <v>20000</v>
      </c>
      <c r="X70" s="66">
        <f t="shared" si="17"/>
        <v>-100</v>
      </c>
      <c r="Y70" s="66">
        <v>23</v>
      </c>
      <c r="Z70" s="66">
        <f t="shared" si="19"/>
        <v>123.196</v>
      </c>
      <c r="AA70" s="66">
        <f t="shared" si="18"/>
        <v>-100</v>
      </c>
      <c r="AB70" s="66">
        <f t="shared" si="16"/>
        <v>1030.492</v>
      </c>
      <c r="AD70" s="66">
        <v>23</v>
      </c>
      <c r="AE70" s="66">
        <v>123.196</v>
      </c>
      <c r="AF70" s="66">
        <v>128.70699999999999</v>
      </c>
    </row>
    <row r="71" spans="8:32" s="66" customFormat="1" ht="0.75" customHeight="1" x14ac:dyDescent="0.3">
      <c r="H71" s="66">
        <v>25</v>
      </c>
      <c r="L71" s="66">
        <f t="shared" si="15"/>
        <v>20000</v>
      </c>
      <c r="M71" s="66">
        <f t="shared" si="13"/>
        <v>20000</v>
      </c>
      <c r="N71" s="66">
        <f t="shared" si="14"/>
        <v>20000</v>
      </c>
      <c r="X71" s="66">
        <f t="shared" si="17"/>
        <v>-100</v>
      </c>
      <c r="Y71" s="66">
        <v>24</v>
      </c>
      <c r="Z71" s="66">
        <f t="shared" si="19"/>
        <v>123.917</v>
      </c>
      <c r="AA71" s="66">
        <f t="shared" si="18"/>
        <v>-100</v>
      </c>
      <c r="AB71" s="66">
        <f t="shared" si="16"/>
        <v>1057.992</v>
      </c>
      <c r="AD71" s="66">
        <v>24</v>
      </c>
      <c r="AE71" s="66">
        <v>123.917</v>
      </c>
      <c r="AF71" s="66">
        <v>129.458</v>
      </c>
    </row>
    <row r="72" spans="8:32" s="66" customFormat="1" ht="0.75" customHeight="1" x14ac:dyDescent="0.3">
      <c r="H72" s="66">
        <v>26</v>
      </c>
      <c r="L72" s="66">
        <f t="shared" si="15"/>
        <v>20000</v>
      </c>
      <c r="M72" s="66">
        <f t="shared" si="13"/>
        <v>20000</v>
      </c>
      <c r="N72" s="66">
        <f t="shared" si="14"/>
        <v>20000</v>
      </c>
      <c r="X72" s="66">
        <f t="shared" si="17"/>
        <v>-100</v>
      </c>
      <c r="Y72" s="66">
        <v>25</v>
      </c>
      <c r="Z72" s="66">
        <f t="shared" si="19"/>
        <v>124.7</v>
      </c>
      <c r="AA72" s="66">
        <f t="shared" si="18"/>
        <v>-100</v>
      </c>
      <c r="AB72" s="66">
        <f t="shared" si="16"/>
        <v>1082.5</v>
      </c>
      <c r="AD72" s="66">
        <v>25</v>
      </c>
      <c r="AE72" s="66">
        <v>124.7</v>
      </c>
      <c r="AF72" s="66">
        <v>130.25</v>
      </c>
    </row>
    <row r="73" spans="8:32" s="66" customFormat="1" ht="0.75" customHeight="1" x14ac:dyDescent="0.3">
      <c r="H73" s="66">
        <v>27</v>
      </c>
      <c r="L73" s="66">
        <f t="shared" si="15"/>
        <v>20000</v>
      </c>
      <c r="M73" s="66">
        <f t="shared" si="13"/>
        <v>20000</v>
      </c>
      <c r="N73" s="66">
        <f t="shared" si="14"/>
        <v>20000</v>
      </c>
      <c r="X73" s="66">
        <f t="shared" si="17"/>
        <v>-100</v>
      </c>
      <c r="Y73" s="66">
        <v>26</v>
      </c>
      <c r="Z73" s="66">
        <f t="shared" si="19"/>
        <v>125.846</v>
      </c>
      <c r="AA73" s="66">
        <f t="shared" si="18"/>
        <v>-100</v>
      </c>
      <c r="AB73" s="66">
        <f t="shared" si="16"/>
        <v>1096.0039999999999</v>
      </c>
      <c r="AD73" s="66">
        <v>26</v>
      </c>
      <c r="AE73" s="66">
        <v>125.846</v>
      </c>
      <c r="AF73" s="66">
        <v>131.077</v>
      </c>
    </row>
    <row r="74" spans="8:32" s="66" customFormat="1" ht="0.75" customHeight="1" x14ac:dyDescent="0.3">
      <c r="H74" s="66">
        <v>28</v>
      </c>
      <c r="L74" s="66">
        <f t="shared" si="15"/>
        <v>20000</v>
      </c>
      <c r="M74" s="66">
        <f t="shared" si="13"/>
        <v>20000</v>
      </c>
      <c r="N74" s="66">
        <f t="shared" si="14"/>
        <v>20000</v>
      </c>
      <c r="X74" s="66">
        <f t="shared" si="17"/>
        <v>-100</v>
      </c>
      <c r="Y74" s="66">
        <v>27</v>
      </c>
      <c r="Z74" s="66">
        <f t="shared" si="19"/>
        <v>127.056</v>
      </c>
      <c r="AA74" s="66">
        <f t="shared" si="18"/>
        <v>-100</v>
      </c>
      <c r="AB74" s="66">
        <f t="shared" si="16"/>
        <v>1105.4880000000001</v>
      </c>
      <c r="AD74" s="66">
        <v>27</v>
      </c>
      <c r="AE74" s="66">
        <v>127.056</v>
      </c>
      <c r="AF74" s="66">
        <v>131.935</v>
      </c>
    </row>
    <row r="75" spans="8:32" s="66" customFormat="1" ht="0.75" customHeight="1" x14ac:dyDescent="0.3">
      <c r="H75" s="66">
        <v>29</v>
      </c>
      <c r="L75" s="66">
        <f t="shared" si="15"/>
        <v>20000</v>
      </c>
      <c r="M75" s="66">
        <f t="shared" si="13"/>
        <v>20000</v>
      </c>
      <c r="N75" s="66">
        <f t="shared" si="14"/>
        <v>20000</v>
      </c>
      <c r="X75" s="66">
        <f t="shared" si="17"/>
        <v>-100</v>
      </c>
      <c r="Y75" s="66">
        <v>28</v>
      </c>
      <c r="Z75" s="66">
        <f t="shared" si="19"/>
        <v>128.321</v>
      </c>
      <c r="AA75" s="66">
        <f t="shared" si="18"/>
        <v>-100</v>
      </c>
      <c r="AB75" s="66">
        <f t="shared" si="16"/>
        <v>1111.0120000000002</v>
      </c>
      <c r="AD75" s="66">
        <v>28</v>
      </c>
      <c r="AE75" s="66">
        <v>128.321</v>
      </c>
      <c r="AF75" s="66">
        <v>132.821</v>
      </c>
    </row>
    <row r="76" spans="8:32" s="66" customFormat="1" ht="0.75" customHeight="1" x14ac:dyDescent="0.3">
      <c r="H76" s="66">
        <v>30</v>
      </c>
      <c r="L76" s="66">
        <f t="shared" si="15"/>
        <v>20000</v>
      </c>
      <c r="M76" s="66">
        <f t="shared" si="13"/>
        <v>20000</v>
      </c>
      <c r="N76" s="66">
        <f t="shared" si="14"/>
        <v>20000</v>
      </c>
      <c r="X76" s="66">
        <f t="shared" si="17"/>
        <v>-100</v>
      </c>
      <c r="Y76" s="66">
        <v>29</v>
      </c>
      <c r="Z76" s="66">
        <f t="shared" si="19"/>
        <v>129.63800000000001</v>
      </c>
      <c r="AA76" s="66">
        <f t="shared" si="18"/>
        <v>-100</v>
      </c>
      <c r="AB76" s="66">
        <f t="shared" si="16"/>
        <v>1112.4979999999998</v>
      </c>
      <c r="AD76" s="66">
        <v>29</v>
      </c>
      <c r="AE76" s="66">
        <v>129.63800000000001</v>
      </c>
      <c r="AF76" s="66">
        <v>133.733</v>
      </c>
    </row>
    <row r="77" spans="8:32" s="66" customFormat="1" ht="0.75" customHeight="1" x14ac:dyDescent="0.3">
      <c r="H77" s="66">
        <v>31</v>
      </c>
      <c r="L77" s="66">
        <f t="shared" si="15"/>
        <v>20000</v>
      </c>
      <c r="M77" s="66">
        <f t="shared" si="13"/>
        <v>20000</v>
      </c>
      <c r="N77" s="66">
        <f t="shared" si="14"/>
        <v>20000</v>
      </c>
      <c r="X77" s="66">
        <f t="shared" si="17"/>
        <v>-100</v>
      </c>
      <c r="Y77" s="66">
        <v>30</v>
      </c>
      <c r="Z77" s="66">
        <f t="shared" si="19"/>
        <v>131</v>
      </c>
      <c r="AA77" s="66">
        <f t="shared" si="18"/>
        <v>-100</v>
      </c>
      <c r="AB77" s="66">
        <f t="shared" si="16"/>
        <v>1110</v>
      </c>
      <c r="AD77" s="66">
        <v>30</v>
      </c>
      <c r="AE77" s="66">
        <v>131</v>
      </c>
      <c r="AF77" s="66">
        <v>134.666666666</v>
      </c>
    </row>
    <row r="78" spans="8:32" s="66" customFormat="1" ht="0.75" customHeight="1" x14ac:dyDescent="0.3">
      <c r="H78" s="66">
        <v>32</v>
      </c>
      <c r="L78" s="66">
        <f t="shared" si="15"/>
        <v>20000</v>
      </c>
      <c r="M78" s="66">
        <f t="shared" si="13"/>
        <v>20000</v>
      </c>
      <c r="N78" s="66">
        <f t="shared" si="14"/>
        <v>20000</v>
      </c>
      <c r="X78" s="66">
        <f t="shared" si="17"/>
        <v>-100</v>
      </c>
      <c r="Y78" s="66">
        <v>32</v>
      </c>
      <c r="Z78" s="66">
        <f t="shared" si="19"/>
        <v>133.84399999999999</v>
      </c>
      <c r="AA78" s="66">
        <f t="shared" si="18"/>
        <v>-100</v>
      </c>
      <c r="AB78" s="66">
        <f t="shared" si="16"/>
        <v>1092.9920000000002</v>
      </c>
      <c r="AD78" s="66">
        <v>32</v>
      </c>
      <c r="AE78" s="66">
        <v>133.84399999999999</v>
      </c>
      <c r="AF78" s="66">
        <v>138</v>
      </c>
    </row>
    <row r="79" spans="8:32" s="66" customFormat="1" ht="0.75" customHeight="1" x14ac:dyDescent="0.3">
      <c r="H79" s="66">
        <v>33</v>
      </c>
      <c r="L79" s="66">
        <f t="shared" si="15"/>
        <v>20000</v>
      </c>
      <c r="M79" s="66">
        <f t="shared" ref="M79:M110" si="20">IF(F$43=1,IF($H79&gt;$L$37,M$45/($H79-$L$37)+$L$38,20000),-1000)</f>
        <v>20000</v>
      </c>
      <c r="N79" s="66">
        <f t="shared" ref="N79:N110" si="21">B$43*IF($H79&gt;$L$37,N$45/($H79-$L$37)+$L$38,20000)</f>
        <v>20000</v>
      </c>
    </row>
    <row r="80" spans="8:32" s="66" customFormat="1" ht="0.75" customHeight="1" x14ac:dyDescent="0.3">
      <c r="H80" s="66">
        <v>34</v>
      </c>
      <c r="L80" s="66">
        <f t="shared" si="15"/>
        <v>20000</v>
      </c>
      <c r="M80" s="66">
        <f t="shared" si="20"/>
        <v>20000</v>
      </c>
      <c r="N80" s="66">
        <f t="shared" si="21"/>
        <v>20000</v>
      </c>
    </row>
    <row r="81" spans="8:14" s="66" customFormat="1" ht="0.75" customHeight="1" x14ac:dyDescent="0.3">
      <c r="H81" s="66">
        <v>35</v>
      </c>
      <c r="L81" s="66">
        <f t="shared" si="15"/>
        <v>20000</v>
      </c>
      <c r="M81" s="66">
        <f t="shared" si="20"/>
        <v>20000</v>
      </c>
      <c r="N81" s="66">
        <f t="shared" si="21"/>
        <v>20000</v>
      </c>
    </row>
    <row r="82" spans="8:14" s="66" customFormat="1" ht="0.75" customHeight="1" x14ac:dyDescent="0.3">
      <c r="H82" s="66">
        <v>36</v>
      </c>
      <c r="L82" s="66">
        <f t="shared" si="15"/>
        <v>20000</v>
      </c>
      <c r="M82" s="66">
        <f t="shared" si="20"/>
        <v>20000</v>
      </c>
      <c r="N82" s="66">
        <f t="shared" si="21"/>
        <v>20000</v>
      </c>
    </row>
    <row r="83" spans="8:14" s="66" customFormat="1" ht="0.75" customHeight="1" x14ac:dyDescent="0.3">
      <c r="H83" s="66">
        <v>37</v>
      </c>
      <c r="L83" s="66">
        <f t="shared" si="15"/>
        <v>20000</v>
      </c>
      <c r="M83" s="66">
        <f t="shared" si="20"/>
        <v>20000</v>
      </c>
      <c r="N83" s="66">
        <f t="shared" si="21"/>
        <v>20000</v>
      </c>
    </row>
    <row r="84" spans="8:14" s="66" customFormat="1" ht="0.75" customHeight="1" x14ac:dyDescent="0.3">
      <c r="H84" s="66">
        <v>38</v>
      </c>
      <c r="L84" s="66">
        <f t="shared" si="15"/>
        <v>20000</v>
      </c>
      <c r="M84" s="66">
        <f t="shared" si="20"/>
        <v>20000</v>
      </c>
      <c r="N84" s="66">
        <f t="shared" si="21"/>
        <v>20000</v>
      </c>
    </row>
    <row r="85" spans="8:14" s="66" customFormat="1" ht="0.75" customHeight="1" x14ac:dyDescent="0.3">
      <c r="H85" s="66">
        <v>39</v>
      </c>
      <c r="L85" s="66">
        <f t="shared" si="15"/>
        <v>20000</v>
      </c>
      <c r="M85" s="66">
        <f t="shared" si="20"/>
        <v>20000</v>
      </c>
      <c r="N85" s="66">
        <f t="shared" si="21"/>
        <v>20000</v>
      </c>
    </row>
    <row r="86" spans="8:14" s="66" customFormat="1" ht="0.75" customHeight="1" x14ac:dyDescent="0.3">
      <c r="H86" s="66">
        <v>40</v>
      </c>
      <c r="L86" s="66">
        <f t="shared" si="15"/>
        <v>20000</v>
      </c>
      <c r="M86" s="66">
        <f t="shared" si="20"/>
        <v>20000</v>
      </c>
      <c r="N86" s="66">
        <f t="shared" si="21"/>
        <v>20000</v>
      </c>
    </row>
    <row r="87" spans="8:14" s="66" customFormat="1" ht="0.75" customHeight="1" x14ac:dyDescent="0.3">
      <c r="H87" s="66">
        <v>41</v>
      </c>
      <c r="L87" s="66">
        <f t="shared" si="15"/>
        <v>20000</v>
      </c>
      <c r="M87" s="66">
        <f t="shared" si="20"/>
        <v>20000</v>
      </c>
      <c r="N87" s="66">
        <f t="shared" si="21"/>
        <v>20000</v>
      </c>
    </row>
    <row r="88" spans="8:14" s="66" customFormat="1" ht="0.75" customHeight="1" x14ac:dyDescent="0.3">
      <c r="H88" s="66">
        <v>42</v>
      </c>
      <c r="L88" s="66">
        <f t="shared" si="15"/>
        <v>20000</v>
      </c>
      <c r="M88" s="66">
        <f t="shared" si="20"/>
        <v>20000</v>
      </c>
      <c r="N88" s="66">
        <f t="shared" si="21"/>
        <v>20000</v>
      </c>
    </row>
    <row r="89" spans="8:14" s="66" customFormat="1" ht="0.75" customHeight="1" x14ac:dyDescent="0.3">
      <c r="H89" s="66">
        <v>43</v>
      </c>
      <c r="L89" s="66">
        <f t="shared" si="15"/>
        <v>20000</v>
      </c>
      <c r="M89" s="66">
        <f t="shared" si="20"/>
        <v>20000</v>
      </c>
      <c r="N89" s="66">
        <f t="shared" si="21"/>
        <v>20000</v>
      </c>
    </row>
    <row r="90" spans="8:14" s="66" customFormat="1" ht="0.75" customHeight="1" x14ac:dyDescent="0.3">
      <c r="H90" s="66">
        <v>44</v>
      </c>
      <c r="L90" s="66">
        <f t="shared" si="15"/>
        <v>20000</v>
      </c>
      <c r="M90" s="66">
        <f t="shared" si="20"/>
        <v>20000</v>
      </c>
      <c r="N90" s="66">
        <f t="shared" si="21"/>
        <v>20000</v>
      </c>
    </row>
    <row r="91" spans="8:14" s="66" customFormat="1" ht="0.75" customHeight="1" x14ac:dyDescent="0.3">
      <c r="H91" s="66">
        <v>45</v>
      </c>
      <c r="L91" s="66">
        <f t="shared" si="15"/>
        <v>20000</v>
      </c>
      <c r="M91" s="66">
        <f t="shared" si="20"/>
        <v>20000</v>
      </c>
      <c r="N91" s="66">
        <f t="shared" si="21"/>
        <v>20000</v>
      </c>
    </row>
    <row r="92" spans="8:14" s="66" customFormat="1" ht="0.75" customHeight="1" x14ac:dyDescent="0.3">
      <c r="H92" s="66">
        <v>46</v>
      </c>
      <c r="L92" s="66">
        <f t="shared" si="15"/>
        <v>20000</v>
      </c>
      <c r="M92" s="66">
        <f t="shared" si="20"/>
        <v>20000</v>
      </c>
      <c r="N92" s="66">
        <f t="shared" si="21"/>
        <v>20000</v>
      </c>
    </row>
    <row r="93" spans="8:14" s="66" customFormat="1" ht="0.75" customHeight="1" x14ac:dyDescent="0.3">
      <c r="H93" s="66">
        <v>47</v>
      </c>
      <c r="L93" s="66">
        <f t="shared" si="15"/>
        <v>20000</v>
      </c>
      <c r="M93" s="66">
        <f t="shared" si="20"/>
        <v>20000</v>
      </c>
      <c r="N93" s="66">
        <f t="shared" si="21"/>
        <v>20000</v>
      </c>
    </row>
    <row r="94" spans="8:14" s="66" customFormat="1" ht="0.75" customHeight="1" x14ac:dyDescent="0.3">
      <c r="H94" s="66">
        <v>48</v>
      </c>
      <c r="L94" s="66">
        <f t="shared" si="15"/>
        <v>20000</v>
      </c>
      <c r="M94" s="66">
        <f t="shared" si="20"/>
        <v>20000</v>
      </c>
      <c r="N94" s="66">
        <f t="shared" si="21"/>
        <v>20000</v>
      </c>
    </row>
    <row r="95" spans="8:14" s="66" customFormat="1" ht="0.75" customHeight="1" x14ac:dyDescent="0.3">
      <c r="H95" s="66">
        <v>49</v>
      </c>
      <c r="L95" s="66">
        <f t="shared" si="15"/>
        <v>63600</v>
      </c>
      <c r="M95" s="66">
        <f t="shared" si="20"/>
        <v>84933.333333333328</v>
      </c>
      <c r="N95" s="66">
        <f t="shared" si="21"/>
        <v>132933.33333333334</v>
      </c>
    </row>
    <row r="96" spans="8:14" s="66" customFormat="1" ht="0.75" customHeight="1" x14ac:dyDescent="0.3">
      <c r="H96" s="66">
        <v>50</v>
      </c>
      <c r="L96" s="66">
        <f t="shared" si="15"/>
        <v>31600</v>
      </c>
      <c r="M96" s="66">
        <f t="shared" si="20"/>
        <v>42266.666666666664</v>
      </c>
      <c r="N96" s="66">
        <f t="shared" si="21"/>
        <v>66266.666666666672</v>
      </c>
    </row>
    <row r="97" spans="8:14" s="66" customFormat="1" ht="0.75" customHeight="1" x14ac:dyDescent="0.3">
      <c r="H97" s="66">
        <v>51</v>
      </c>
      <c r="L97" s="66">
        <f t="shared" si="15"/>
        <v>20933.333333333332</v>
      </c>
      <c r="M97" s="66">
        <f t="shared" si="20"/>
        <v>28044.444444444442</v>
      </c>
      <c r="N97" s="66">
        <f t="shared" si="21"/>
        <v>44044.444444444445</v>
      </c>
    </row>
    <row r="98" spans="8:14" s="66" customFormat="1" ht="0.75" customHeight="1" x14ac:dyDescent="0.3">
      <c r="H98" s="66">
        <v>52</v>
      </c>
      <c r="L98" s="66">
        <f t="shared" si="15"/>
        <v>15600</v>
      </c>
      <c r="M98" s="66">
        <f t="shared" si="20"/>
        <v>20933.333333333332</v>
      </c>
      <c r="N98" s="66">
        <f t="shared" si="21"/>
        <v>32933.333333333336</v>
      </c>
    </row>
    <row r="99" spans="8:14" s="66" customFormat="1" ht="0.75" customHeight="1" x14ac:dyDescent="0.3">
      <c r="H99" s="66">
        <v>53</v>
      </c>
      <c r="L99" s="66">
        <f t="shared" si="15"/>
        <v>12400</v>
      </c>
      <c r="M99" s="66">
        <f t="shared" si="20"/>
        <v>16666.666666666664</v>
      </c>
      <c r="N99" s="66">
        <f t="shared" si="21"/>
        <v>26266.666666666668</v>
      </c>
    </row>
    <row r="100" spans="8:14" s="66" customFormat="1" ht="0.75" customHeight="1" x14ac:dyDescent="0.3">
      <c r="H100" s="66">
        <v>54</v>
      </c>
      <c r="L100" s="66">
        <f t="shared" si="15"/>
        <v>10266.666666666666</v>
      </c>
      <c r="M100" s="66">
        <f t="shared" si="20"/>
        <v>13822.222222222221</v>
      </c>
      <c r="N100" s="66">
        <f t="shared" si="21"/>
        <v>21822.222222222223</v>
      </c>
    </row>
    <row r="101" spans="8:14" s="66" customFormat="1" ht="0.75" customHeight="1" x14ac:dyDescent="0.3">
      <c r="H101" s="66">
        <v>55</v>
      </c>
      <c r="L101" s="66">
        <f t="shared" si="15"/>
        <v>8742.8571428571431</v>
      </c>
      <c r="M101" s="66">
        <f t="shared" si="20"/>
        <v>11790.476190476189</v>
      </c>
      <c r="N101" s="66">
        <f t="shared" si="21"/>
        <v>18647.61904761905</v>
      </c>
    </row>
    <row r="102" spans="8:14" s="66" customFormat="1" ht="0.75" customHeight="1" x14ac:dyDescent="0.3">
      <c r="H102" s="66">
        <v>56</v>
      </c>
      <c r="L102" s="66">
        <f t="shared" si="15"/>
        <v>7600</v>
      </c>
      <c r="M102" s="66">
        <f t="shared" si="20"/>
        <v>10266.666666666666</v>
      </c>
      <c r="N102" s="66">
        <f t="shared" si="21"/>
        <v>16266.666666666668</v>
      </c>
    </row>
    <row r="103" spans="8:14" s="66" customFormat="1" ht="0.75" customHeight="1" x14ac:dyDescent="0.3">
      <c r="H103" s="66">
        <v>57</v>
      </c>
      <c r="L103" s="66">
        <f t="shared" si="15"/>
        <v>6711.1111111111113</v>
      </c>
      <c r="M103" s="66">
        <f t="shared" si="20"/>
        <v>9081.4814814814818</v>
      </c>
      <c r="N103" s="66">
        <f t="shared" si="21"/>
        <v>14414.814814814816</v>
      </c>
    </row>
    <row r="104" spans="8:14" s="66" customFormat="1" ht="0.75" customHeight="1" x14ac:dyDescent="0.3">
      <c r="H104" s="66">
        <v>58</v>
      </c>
      <c r="L104" s="66">
        <f t="shared" si="15"/>
        <v>6000</v>
      </c>
      <c r="M104" s="66">
        <f t="shared" si="20"/>
        <v>8133.3333333333321</v>
      </c>
      <c r="N104" s="66">
        <f t="shared" si="21"/>
        <v>12933.333333333334</v>
      </c>
    </row>
    <row r="105" spans="8:14" s="66" customFormat="1" ht="0.75" customHeight="1" x14ac:dyDescent="0.3">
      <c r="H105" s="66">
        <v>59</v>
      </c>
      <c r="L105" s="66">
        <f t="shared" si="15"/>
        <v>5418.181818181818</v>
      </c>
      <c r="M105" s="66">
        <f t="shared" si="20"/>
        <v>7357.5757575757571</v>
      </c>
      <c r="N105" s="66">
        <f t="shared" si="21"/>
        <v>11721.212121212122</v>
      </c>
    </row>
    <row r="106" spans="8:14" s="66" customFormat="1" ht="0.75" customHeight="1" x14ac:dyDescent="0.3">
      <c r="H106" s="66">
        <v>60</v>
      </c>
      <c r="L106" s="66">
        <f t="shared" si="15"/>
        <v>4933.333333333333</v>
      </c>
      <c r="M106" s="66">
        <f t="shared" si="20"/>
        <v>6711.1111111111104</v>
      </c>
      <c r="N106" s="66">
        <f t="shared" si="21"/>
        <v>10711.111111111111</v>
      </c>
    </row>
    <row r="107" spans="8:14" s="66" customFormat="1" ht="0.75" customHeight="1" x14ac:dyDescent="0.3">
      <c r="H107" s="66">
        <v>61</v>
      </c>
      <c r="L107" s="66">
        <f t="shared" si="15"/>
        <v>4523.0769230769229</v>
      </c>
      <c r="M107" s="66">
        <f t="shared" si="20"/>
        <v>6164.1025641025635</v>
      </c>
      <c r="N107" s="66">
        <f t="shared" si="21"/>
        <v>9856.4102564102577</v>
      </c>
    </row>
    <row r="108" spans="8:14" s="66" customFormat="1" ht="0.75" customHeight="1" x14ac:dyDescent="0.3">
      <c r="H108" s="66">
        <v>62</v>
      </c>
      <c r="L108" s="66">
        <f t="shared" si="15"/>
        <v>4171.4285714285716</v>
      </c>
      <c r="M108" s="66">
        <f t="shared" si="20"/>
        <v>5695.2380952380945</v>
      </c>
      <c r="N108" s="66">
        <f t="shared" si="21"/>
        <v>9123.8095238095248</v>
      </c>
    </row>
    <row r="109" spans="8:14" s="66" customFormat="1" ht="0.75" customHeight="1" x14ac:dyDescent="0.3">
      <c r="H109" s="66">
        <v>63</v>
      </c>
      <c r="L109" s="66">
        <f t="shared" si="15"/>
        <v>3866.666666666667</v>
      </c>
      <c r="M109" s="66">
        <f t="shared" si="20"/>
        <v>5288.8888888888887</v>
      </c>
      <c r="N109" s="66">
        <f t="shared" si="21"/>
        <v>8488.8888888888887</v>
      </c>
    </row>
    <row r="110" spans="8:14" s="66" customFormat="1" ht="0.75" customHeight="1" x14ac:dyDescent="0.3">
      <c r="H110" s="66">
        <v>64</v>
      </c>
      <c r="L110" s="66">
        <f t="shared" si="15"/>
        <v>3600</v>
      </c>
      <c r="M110" s="66">
        <f t="shared" si="20"/>
        <v>4933.333333333333</v>
      </c>
      <c r="N110" s="66">
        <f t="shared" si="21"/>
        <v>7933.3333333333339</v>
      </c>
    </row>
    <row r="111" spans="8:14" s="66" customFormat="1" ht="0.75" customHeight="1" x14ac:dyDescent="0.3">
      <c r="H111" s="66">
        <v>65</v>
      </c>
      <c r="L111" s="66">
        <f t="shared" si="15"/>
        <v>3364.705882352941</v>
      </c>
      <c r="M111" s="66">
        <f t="shared" ref="M111:M142" si="22">IF(F$43=1,IF($H111&gt;$L$37,M$45/($H111-$L$37)+$L$38,20000),-1000)</f>
        <v>4619.6078431372543</v>
      </c>
      <c r="N111" s="66">
        <f t="shared" ref="N111:N142" si="23">B$43*IF($H111&gt;$L$37,N$45/($H111-$L$37)+$L$38,20000)</f>
        <v>7443.1372549019616</v>
      </c>
    </row>
    <row r="112" spans="8:14" s="66" customFormat="1" ht="0.75" customHeight="1" x14ac:dyDescent="0.3">
      <c r="H112" s="66">
        <v>66</v>
      </c>
      <c r="L112" s="66">
        <f t="shared" ref="L112:L175" si="24">IF(A$43=1,IF($H112&gt;$M$37,L$45/($H112-$M$37)+$M$38,20000),-10000)</f>
        <v>3155.5555555555557</v>
      </c>
      <c r="M112" s="66">
        <f t="shared" si="22"/>
        <v>4340.7407407407409</v>
      </c>
      <c r="N112" s="66">
        <f t="shared" si="23"/>
        <v>7007.4074074074078</v>
      </c>
    </row>
    <row r="113" spans="8:14" s="66" customFormat="1" ht="0.75" customHeight="1" x14ac:dyDescent="0.3">
      <c r="H113" s="66">
        <v>67</v>
      </c>
      <c r="L113" s="66">
        <f t="shared" si="24"/>
        <v>2968.4210526315787</v>
      </c>
      <c r="M113" s="66">
        <f t="shared" si="22"/>
        <v>4091.228070175438</v>
      </c>
      <c r="N113" s="66">
        <f t="shared" si="23"/>
        <v>6617.5438596491231</v>
      </c>
    </row>
    <row r="114" spans="8:14" s="66" customFormat="1" ht="0.75" customHeight="1" x14ac:dyDescent="0.3">
      <c r="H114" s="66">
        <v>68</v>
      </c>
      <c r="L114" s="66">
        <f t="shared" si="24"/>
        <v>2800</v>
      </c>
      <c r="M114" s="66">
        <f t="shared" si="22"/>
        <v>3866.6666666666661</v>
      </c>
      <c r="N114" s="66">
        <f t="shared" si="23"/>
        <v>6266.666666666667</v>
      </c>
    </row>
    <row r="115" spans="8:14" s="66" customFormat="1" ht="0.75" customHeight="1" x14ac:dyDescent="0.3">
      <c r="H115" s="66">
        <v>69</v>
      </c>
      <c r="L115" s="66">
        <f t="shared" si="24"/>
        <v>2647.6190476190477</v>
      </c>
      <c r="M115" s="66">
        <f t="shared" si="22"/>
        <v>3663.4920634920632</v>
      </c>
      <c r="N115" s="66">
        <f t="shared" si="23"/>
        <v>5949.2063492063498</v>
      </c>
    </row>
    <row r="116" spans="8:14" s="66" customFormat="1" ht="0.75" customHeight="1" x14ac:dyDescent="0.3">
      <c r="H116" s="66">
        <v>70</v>
      </c>
      <c r="L116" s="66">
        <f t="shared" si="24"/>
        <v>2509.090909090909</v>
      </c>
      <c r="M116" s="66">
        <f t="shared" si="22"/>
        <v>3478.7878787878785</v>
      </c>
      <c r="N116" s="66">
        <f t="shared" si="23"/>
        <v>5660.606060606061</v>
      </c>
    </row>
    <row r="117" spans="8:14" s="66" customFormat="1" ht="0.75" customHeight="1" x14ac:dyDescent="0.3">
      <c r="H117" s="66">
        <v>71</v>
      </c>
      <c r="L117" s="66">
        <f t="shared" si="24"/>
        <v>2382.608695652174</v>
      </c>
      <c r="M117" s="66">
        <f t="shared" si="22"/>
        <v>3310.1449275362315</v>
      </c>
      <c r="N117" s="66">
        <f t="shared" si="23"/>
        <v>5397.1014492753629</v>
      </c>
    </row>
    <row r="118" spans="8:14" s="66" customFormat="1" ht="0.75" customHeight="1" x14ac:dyDescent="0.3">
      <c r="H118" s="66">
        <v>72</v>
      </c>
      <c r="L118" s="66">
        <f t="shared" si="24"/>
        <v>2266.6666666666665</v>
      </c>
      <c r="M118" s="66">
        <f t="shared" si="22"/>
        <v>3155.5555555555552</v>
      </c>
      <c r="N118" s="66">
        <f t="shared" si="23"/>
        <v>5155.5555555555557</v>
      </c>
    </row>
    <row r="119" spans="8:14" s="66" customFormat="1" ht="0.75" customHeight="1" x14ac:dyDescent="0.3">
      <c r="H119" s="66">
        <v>73</v>
      </c>
      <c r="L119" s="66">
        <f t="shared" si="24"/>
        <v>2160</v>
      </c>
      <c r="M119" s="66">
        <f t="shared" si="22"/>
        <v>3013.333333333333</v>
      </c>
      <c r="N119" s="66">
        <f t="shared" si="23"/>
        <v>4933.3333333333339</v>
      </c>
    </row>
    <row r="120" spans="8:14" s="66" customFormat="1" ht="0.75" customHeight="1" x14ac:dyDescent="0.3">
      <c r="H120" s="66">
        <v>74</v>
      </c>
      <c r="L120" s="66">
        <f t="shared" si="24"/>
        <v>2061.5384615384614</v>
      </c>
      <c r="M120" s="66">
        <f t="shared" si="22"/>
        <v>2882.0512820512818</v>
      </c>
      <c r="N120" s="66">
        <f t="shared" si="23"/>
        <v>4728.2051282051289</v>
      </c>
    </row>
    <row r="121" spans="8:14" s="66" customFormat="1" ht="0.75" customHeight="1" x14ac:dyDescent="0.3">
      <c r="H121" s="66">
        <v>75</v>
      </c>
      <c r="L121" s="66">
        <f t="shared" si="24"/>
        <v>1970.3703703703704</v>
      </c>
      <c r="M121" s="66">
        <f t="shared" si="22"/>
        <v>2760.4938271604938</v>
      </c>
      <c r="N121" s="66">
        <f t="shared" si="23"/>
        <v>4538.2716049382716</v>
      </c>
    </row>
    <row r="122" spans="8:14" s="66" customFormat="1" ht="0.75" customHeight="1" x14ac:dyDescent="0.3">
      <c r="H122" s="66">
        <v>76</v>
      </c>
      <c r="L122" s="66">
        <f t="shared" si="24"/>
        <v>1885.7142857142858</v>
      </c>
      <c r="M122" s="66">
        <f t="shared" si="22"/>
        <v>2647.6190476190473</v>
      </c>
      <c r="N122" s="66">
        <f t="shared" si="23"/>
        <v>4361.9047619047624</v>
      </c>
    </row>
    <row r="123" spans="8:14" s="66" customFormat="1" ht="0.75" customHeight="1" x14ac:dyDescent="0.3">
      <c r="H123" s="66">
        <v>77</v>
      </c>
      <c r="L123" s="66">
        <f t="shared" si="24"/>
        <v>1806.8965517241381</v>
      </c>
      <c r="M123" s="66">
        <f t="shared" si="22"/>
        <v>2542.5287356321837</v>
      </c>
      <c r="N123" s="66">
        <f t="shared" si="23"/>
        <v>4197.7011494252874</v>
      </c>
    </row>
    <row r="124" spans="8:14" s="66" customFormat="1" ht="0.75" customHeight="1" x14ac:dyDescent="0.3">
      <c r="H124" s="66">
        <v>78</v>
      </c>
      <c r="L124" s="66">
        <f t="shared" si="24"/>
        <v>1733.3333333333335</v>
      </c>
      <c r="M124" s="66">
        <f t="shared" si="22"/>
        <v>2444.4444444444443</v>
      </c>
      <c r="N124" s="66">
        <f t="shared" si="23"/>
        <v>4044.4444444444443</v>
      </c>
    </row>
    <row r="125" spans="8:14" s="66" customFormat="1" ht="0.75" customHeight="1" x14ac:dyDescent="0.3">
      <c r="H125" s="66">
        <v>79</v>
      </c>
      <c r="L125" s="66">
        <f t="shared" si="24"/>
        <v>1664.516129032258</v>
      </c>
      <c r="M125" s="66">
        <f t="shared" si="22"/>
        <v>2352.6881720430106</v>
      </c>
      <c r="N125" s="66">
        <f t="shared" si="23"/>
        <v>3901.0752688172042</v>
      </c>
    </row>
    <row r="126" spans="8:14" s="66" customFormat="1" ht="0.75" customHeight="1" x14ac:dyDescent="0.3">
      <c r="H126" s="66">
        <v>80</v>
      </c>
      <c r="L126" s="66">
        <f t="shared" si="24"/>
        <v>1600</v>
      </c>
      <c r="M126" s="66">
        <f t="shared" si="22"/>
        <v>2266.6666666666665</v>
      </c>
      <c r="N126" s="66">
        <f t="shared" si="23"/>
        <v>3766.666666666667</v>
      </c>
    </row>
    <row r="127" spans="8:14" s="66" customFormat="1" ht="0.75" customHeight="1" x14ac:dyDescent="0.3">
      <c r="H127" s="66">
        <v>81</v>
      </c>
      <c r="L127" s="66">
        <f t="shared" si="24"/>
        <v>1539.3939393939395</v>
      </c>
      <c r="M127" s="66">
        <f t="shared" si="22"/>
        <v>2185.8585858585857</v>
      </c>
      <c r="N127" s="66">
        <f t="shared" si="23"/>
        <v>3640.4040404040406</v>
      </c>
    </row>
    <row r="128" spans="8:14" s="66" customFormat="1" ht="0.75" customHeight="1" x14ac:dyDescent="0.3">
      <c r="H128" s="66">
        <v>82</v>
      </c>
      <c r="L128" s="66">
        <f t="shared" si="24"/>
        <v>1482.3529411764705</v>
      </c>
      <c r="M128" s="66">
        <f t="shared" si="22"/>
        <v>2109.8039215686272</v>
      </c>
      <c r="N128" s="66">
        <f t="shared" si="23"/>
        <v>3521.5686274509808</v>
      </c>
    </row>
    <row r="129" spans="8:14" s="66" customFormat="1" ht="0.75" customHeight="1" x14ac:dyDescent="0.3">
      <c r="H129" s="66">
        <v>83</v>
      </c>
      <c r="L129" s="66">
        <f t="shared" si="24"/>
        <v>1428.5714285714287</v>
      </c>
      <c r="M129" s="66">
        <f t="shared" si="22"/>
        <v>2038.0952380952381</v>
      </c>
      <c r="N129" s="66">
        <f t="shared" si="23"/>
        <v>3409.5238095238096</v>
      </c>
    </row>
    <row r="130" spans="8:14" s="66" customFormat="1" ht="0.75" customHeight="1" x14ac:dyDescent="0.3">
      <c r="H130" s="66">
        <v>84</v>
      </c>
      <c r="L130" s="66">
        <f t="shared" si="24"/>
        <v>1377.7777777777778</v>
      </c>
      <c r="M130" s="66">
        <f t="shared" si="22"/>
        <v>1970.3703703703704</v>
      </c>
      <c r="N130" s="66">
        <f t="shared" si="23"/>
        <v>3303.7037037037039</v>
      </c>
    </row>
    <row r="131" spans="8:14" s="66" customFormat="1" ht="0.75" customHeight="1" x14ac:dyDescent="0.3">
      <c r="H131" s="66">
        <v>85</v>
      </c>
      <c r="L131" s="66">
        <f t="shared" si="24"/>
        <v>1329.7297297297298</v>
      </c>
      <c r="M131" s="66">
        <f t="shared" si="22"/>
        <v>1906.3063063063064</v>
      </c>
      <c r="N131" s="66">
        <f t="shared" si="23"/>
        <v>3203.6036036036039</v>
      </c>
    </row>
    <row r="132" spans="8:14" s="66" customFormat="1" ht="0.75" customHeight="1" x14ac:dyDescent="0.3">
      <c r="H132" s="66">
        <v>86</v>
      </c>
      <c r="L132" s="66">
        <f t="shared" si="24"/>
        <v>1284.2105263157894</v>
      </c>
      <c r="M132" s="66">
        <f t="shared" si="22"/>
        <v>1845.614035087719</v>
      </c>
      <c r="N132" s="66">
        <f t="shared" si="23"/>
        <v>3108.7719298245615</v>
      </c>
    </row>
    <row r="133" spans="8:14" s="66" customFormat="1" ht="0.75" customHeight="1" x14ac:dyDescent="0.3">
      <c r="H133" s="66">
        <v>87</v>
      </c>
      <c r="L133" s="66">
        <f t="shared" si="24"/>
        <v>1241.0256410256411</v>
      </c>
      <c r="M133" s="66">
        <f t="shared" si="22"/>
        <v>1788.034188034188</v>
      </c>
      <c r="N133" s="66">
        <f t="shared" si="23"/>
        <v>3018.8034188034189</v>
      </c>
    </row>
    <row r="134" spans="8:14" s="66" customFormat="1" ht="0.75" customHeight="1" x14ac:dyDescent="0.3">
      <c r="H134" s="66">
        <v>88</v>
      </c>
      <c r="L134" s="66">
        <f t="shared" si="24"/>
        <v>1200</v>
      </c>
      <c r="M134" s="66">
        <f t="shared" si="22"/>
        <v>1733.333333333333</v>
      </c>
      <c r="N134" s="66">
        <f t="shared" si="23"/>
        <v>2933.3333333333335</v>
      </c>
    </row>
    <row r="135" spans="8:14" s="66" customFormat="1" ht="0.75" customHeight="1" x14ac:dyDescent="0.3">
      <c r="H135" s="66">
        <v>89</v>
      </c>
      <c r="L135" s="66">
        <f t="shared" si="24"/>
        <v>1160.9756097560976</v>
      </c>
      <c r="M135" s="66">
        <f t="shared" si="22"/>
        <v>1681.3008130081298</v>
      </c>
      <c r="N135" s="66">
        <f t="shared" si="23"/>
        <v>2852.0325203252037</v>
      </c>
    </row>
    <row r="136" spans="8:14" s="66" customFormat="1" ht="0.75" customHeight="1" x14ac:dyDescent="0.3">
      <c r="H136" s="66">
        <v>90</v>
      </c>
      <c r="L136" s="66">
        <f t="shared" si="24"/>
        <v>1123.8095238095239</v>
      </c>
      <c r="M136" s="66">
        <f t="shared" si="22"/>
        <v>1631.7460317460316</v>
      </c>
      <c r="N136" s="66">
        <f t="shared" si="23"/>
        <v>2774.6031746031749</v>
      </c>
    </row>
    <row r="137" spans="8:14" s="66" customFormat="1" ht="0.75" customHeight="1" x14ac:dyDescent="0.3">
      <c r="H137" s="66">
        <v>91</v>
      </c>
      <c r="L137" s="66">
        <f t="shared" si="24"/>
        <v>1088.3720930232557</v>
      </c>
      <c r="M137" s="66">
        <f t="shared" si="22"/>
        <v>1584.4961240310076</v>
      </c>
      <c r="N137" s="66">
        <f t="shared" si="23"/>
        <v>2700.7751937984499</v>
      </c>
    </row>
    <row r="138" spans="8:14" s="66" customFormat="1" ht="0.75" customHeight="1" x14ac:dyDescent="0.3">
      <c r="H138" s="66">
        <v>92</v>
      </c>
      <c r="L138" s="66">
        <f t="shared" si="24"/>
        <v>1054.5454545454545</v>
      </c>
      <c r="M138" s="66">
        <f t="shared" si="22"/>
        <v>1539.3939393939393</v>
      </c>
      <c r="N138" s="66">
        <f t="shared" si="23"/>
        <v>2630.3030303030305</v>
      </c>
    </row>
    <row r="139" spans="8:14" s="66" customFormat="1" ht="0.75" customHeight="1" x14ac:dyDescent="0.3">
      <c r="H139" s="66">
        <v>93</v>
      </c>
      <c r="L139" s="66">
        <f t="shared" si="24"/>
        <v>1022.2222222222222</v>
      </c>
      <c r="M139" s="66">
        <f t="shared" si="22"/>
        <v>1496.2962962962961</v>
      </c>
      <c r="N139" s="66">
        <f t="shared" si="23"/>
        <v>2562.962962962963</v>
      </c>
    </row>
    <row r="140" spans="8:14" s="66" customFormat="1" ht="0.75" customHeight="1" x14ac:dyDescent="0.3">
      <c r="H140" s="66">
        <v>94</v>
      </c>
      <c r="L140" s="66">
        <f t="shared" si="24"/>
        <v>991.304347826087</v>
      </c>
      <c r="M140" s="66">
        <f t="shared" si="22"/>
        <v>1455.0724637681158</v>
      </c>
      <c r="N140" s="66">
        <f t="shared" si="23"/>
        <v>2498.5507246376815</v>
      </c>
    </row>
    <row r="141" spans="8:14" s="66" customFormat="1" ht="0.75" customHeight="1" x14ac:dyDescent="0.3">
      <c r="H141" s="66">
        <v>95</v>
      </c>
      <c r="L141" s="66">
        <f t="shared" si="24"/>
        <v>961.70212765957444</v>
      </c>
      <c r="M141" s="66">
        <f t="shared" si="22"/>
        <v>1415.6028368794325</v>
      </c>
      <c r="N141" s="66">
        <f t="shared" si="23"/>
        <v>2436.8794326241136</v>
      </c>
    </row>
    <row r="142" spans="8:14" s="66" customFormat="1" ht="0.75" customHeight="1" x14ac:dyDescent="0.3">
      <c r="H142" s="66">
        <v>96</v>
      </c>
      <c r="L142" s="66">
        <f t="shared" si="24"/>
        <v>933.33333333333326</v>
      </c>
      <c r="M142" s="66">
        <f t="shared" si="22"/>
        <v>1377.7777777777776</v>
      </c>
      <c r="N142" s="66">
        <f t="shared" si="23"/>
        <v>2377.7777777777778</v>
      </c>
    </row>
    <row r="143" spans="8:14" s="66" customFormat="1" ht="0.75" customHeight="1" x14ac:dyDescent="0.3">
      <c r="H143" s="66">
        <v>97</v>
      </c>
      <c r="L143" s="66">
        <f t="shared" si="24"/>
        <v>906.12244897959181</v>
      </c>
      <c r="M143" s="66">
        <f t="shared" ref="M143:M174" si="25">IF(F$43=1,IF($H143&gt;$L$37,M$45/($H143-$L$37)+$L$38,20000),-1000)</f>
        <v>1341.4965986394557</v>
      </c>
      <c r="N143" s="66">
        <f t="shared" ref="N143:N174" si="26">B$43*IF($H143&gt;$L$37,N$45/($H143-$L$37)+$L$38,20000)</f>
        <v>2321.0884353741499</v>
      </c>
    </row>
    <row r="144" spans="8:14" s="66" customFormat="1" ht="0.75" customHeight="1" x14ac:dyDescent="0.3">
      <c r="H144" s="66">
        <v>98</v>
      </c>
      <c r="L144" s="66">
        <f t="shared" si="24"/>
        <v>880</v>
      </c>
      <c r="M144" s="66">
        <f t="shared" si="25"/>
        <v>1306.6666666666665</v>
      </c>
      <c r="N144" s="66">
        <f t="shared" si="26"/>
        <v>2266.666666666667</v>
      </c>
    </row>
    <row r="145" spans="8:14" s="66" customFormat="1" ht="0.75" customHeight="1" x14ac:dyDescent="0.3">
      <c r="H145" s="66">
        <v>99</v>
      </c>
      <c r="L145" s="66">
        <f t="shared" si="24"/>
        <v>854.90196078431381</v>
      </c>
      <c r="M145" s="66">
        <f t="shared" si="25"/>
        <v>1273.2026143790849</v>
      </c>
      <c r="N145" s="66">
        <f t="shared" si="26"/>
        <v>2214.3790849673205</v>
      </c>
    </row>
    <row r="146" spans="8:14" s="66" customFormat="1" ht="0.75" customHeight="1" x14ac:dyDescent="0.3">
      <c r="H146" s="66">
        <v>100</v>
      </c>
      <c r="L146" s="66">
        <f t="shared" si="24"/>
        <v>830.76923076923072</v>
      </c>
      <c r="M146" s="66">
        <f t="shared" si="25"/>
        <v>1241.0256410256409</v>
      </c>
      <c r="N146" s="66">
        <f t="shared" si="26"/>
        <v>2164.1025641025644</v>
      </c>
    </row>
    <row r="147" spans="8:14" s="66" customFormat="1" ht="0.75" customHeight="1" x14ac:dyDescent="0.3">
      <c r="H147" s="66">
        <v>101</v>
      </c>
      <c r="L147" s="66">
        <f t="shared" si="24"/>
        <v>807.54716981132083</v>
      </c>
      <c r="M147" s="66">
        <f t="shared" si="25"/>
        <v>1210.0628930817609</v>
      </c>
      <c r="N147" s="66">
        <f t="shared" si="26"/>
        <v>2115.7232704402518</v>
      </c>
    </row>
    <row r="148" spans="8:14" s="66" customFormat="1" ht="0.75" customHeight="1" x14ac:dyDescent="0.3">
      <c r="H148" s="66">
        <v>102</v>
      </c>
      <c r="L148" s="66">
        <f t="shared" si="24"/>
        <v>785.18518518518522</v>
      </c>
      <c r="M148" s="66">
        <f t="shared" si="25"/>
        <v>1180.2469135802469</v>
      </c>
      <c r="N148" s="66">
        <f t="shared" si="26"/>
        <v>2069.1358024691358</v>
      </c>
    </row>
    <row r="149" spans="8:14" s="66" customFormat="1" ht="0.75" customHeight="1" x14ac:dyDescent="0.3">
      <c r="H149" s="66">
        <v>103</v>
      </c>
      <c r="L149" s="66">
        <f t="shared" si="24"/>
        <v>763.63636363636374</v>
      </c>
      <c r="M149" s="66">
        <f t="shared" si="25"/>
        <v>1151.5151515151515</v>
      </c>
      <c r="N149" s="66">
        <f t="shared" si="26"/>
        <v>2024.2424242424245</v>
      </c>
    </row>
    <row r="150" spans="8:14" s="66" customFormat="1" ht="0.75" customHeight="1" x14ac:dyDescent="0.3">
      <c r="H150" s="66">
        <v>104</v>
      </c>
      <c r="L150" s="66">
        <f t="shared" si="24"/>
        <v>742.85714285714289</v>
      </c>
      <c r="M150" s="66">
        <f t="shared" si="25"/>
        <v>1123.8095238095236</v>
      </c>
      <c r="N150" s="66">
        <f t="shared" si="26"/>
        <v>1980.9523809523812</v>
      </c>
    </row>
    <row r="151" spans="8:14" s="66" customFormat="1" ht="0.75" customHeight="1" x14ac:dyDescent="0.3">
      <c r="H151" s="66">
        <v>105</v>
      </c>
      <c r="L151" s="66">
        <f t="shared" si="24"/>
        <v>722.80701754385973</v>
      </c>
      <c r="M151" s="66">
        <f t="shared" si="25"/>
        <v>1097.0760233918127</v>
      </c>
      <c r="N151" s="66">
        <f t="shared" si="26"/>
        <v>1939.1812865497077</v>
      </c>
    </row>
    <row r="152" spans="8:14" s="66" customFormat="1" ht="0.75" customHeight="1" x14ac:dyDescent="0.3">
      <c r="H152" s="66">
        <v>106</v>
      </c>
      <c r="L152" s="66">
        <f t="shared" si="24"/>
        <v>703.44827586206907</v>
      </c>
      <c r="M152" s="66">
        <f t="shared" si="25"/>
        <v>1071.2643678160919</v>
      </c>
      <c r="N152" s="66">
        <f t="shared" si="26"/>
        <v>1898.8505747126437</v>
      </c>
    </row>
    <row r="153" spans="8:14" s="66" customFormat="1" ht="0.75" customHeight="1" x14ac:dyDescent="0.3">
      <c r="H153" s="66">
        <v>107</v>
      </c>
      <c r="L153" s="66">
        <f t="shared" si="24"/>
        <v>684.74576271186447</v>
      </c>
      <c r="M153" s="66">
        <f t="shared" si="25"/>
        <v>1046.3276836158191</v>
      </c>
      <c r="N153" s="66">
        <f t="shared" si="26"/>
        <v>1859.8870056497176</v>
      </c>
    </row>
    <row r="154" spans="8:14" s="66" customFormat="1" ht="0.75" customHeight="1" x14ac:dyDescent="0.3">
      <c r="H154" s="66">
        <v>108</v>
      </c>
      <c r="L154" s="66">
        <f t="shared" si="24"/>
        <v>666.66666666666674</v>
      </c>
      <c r="M154" s="66">
        <f t="shared" si="25"/>
        <v>1022.2222222222222</v>
      </c>
      <c r="N154" s="66">
        <f t="shared" si="26"/>
        <v>1822.2222222222222</v>
      </c>
    </row>
    <row r="155" spans="8:14" s="66" customFormat="1" ht="0.75" customHeight="1" x14ac:dyDescent="0.3">
      <c r="H155" s="66">
        <v>109</v>
      </c>
      <c r="L155" s="66">
        <f t="shared" si="24"/>
        <v>649.18032786885237</v>
      </c>
      <c r="M155" s="66">
        <f t="shared" si="25"/>
        <v>998.90710382513657</v>
      </c>
      <c r="N155" s="66">
        <f t="shared" si="26"/>
        <v>1785.7923497267761</v>
      </c>
    </row>
    <row r="156" spans="8:14" s="66" customFormat="1" ht="0.75" customHeight="1" x14ac:dyDescent="0.3">
      <c r="H156" s="66">
        <v>110</v>
      </c>
      <c r="L156" s="66">
        <f t="shared" si="24"/>
        <v>632.25806451612902</v>
      </c>
      <c r="M156" s="66">
        <f t="shared" si="25"/>
        <v>976.34408602150529</v>
      </c>
      <c r="N156" s="66">
        <f t="shared" si="26"/>
        <v>1750.5376344086021</v>
      </c>
    </row>
    <row r="157" spans="8:14" s="66" customFormat="1" ht="0.75" customHeight="1" x14ac:dyDescent="0.3">
      <c r="H157" s="66">
        <v>111</v>
      </c>
      <c r="L157" s="66">
        <f t="shared" si="24"/>
        <v>615.8730158730159</v>
      </c>
      <c r="M157" s="66">
        <f t="shared" si="25"/>
        <v>954.49735449735431</v>
      </c>
      <c r="N157" s="66">
        <f t="shared" si="26"/>
        <v>1716.4021164021165</v>
      </c>
    </row>
    <row r="158" spans="8:14" s="66" customFormat="1" ht="0.75" customHeight="1" x14ac:dyDescent="0.3">
      <c r="H158" s="66">
        <v>112</v>
      </c>
      <c r="L158" s="66">
        <f t="shared" si="24"/>
        <v>600</v>
      </c>
      <c r="M158" s="66">
        <f t="shared" si="25"/>
        <v>933.33333333333326</v>
      </c>
      <c r="N158" s="66">
        <f t="shared" si="26"/>
        <v>1683.3333333333335</v>
      </c>
    </row>
    <row r="159" spans="8:14" s="66" customFormat="1" ht="0.75" customHeight="1" x14ac:dyDescent="0.3">
      <c r="H159" s="66">
        <v>113</v>
      </c>
      <c r="L159" s="66">
        <f t="shared" si="24"/>
        <v>584.61538461538464</v>
      </c>
      <c r="M159" s="66">
        <f t="shared" si="25"/>
        <v>912.8205128205127</v>
      </c>
      <c r="N159" s="66">
        <f t="shared" si="26"/>
        <v>1651.2820512820513</v>
      </c>
    </row>
    <row r="160" spans="8:14" s="66" customFormat="1" ht="0.75" customHeight="1" x14ac:dyDescent="0.3">
      <c r="H160" s="66">
        <v>114</v>
      </c>
      <c r="L160" s="66">
        <f t="shared" si="24"/>
        <v>569.69696969696975</v>
      </c>
      <c r="M160" s="66">
        <f t="shared" si="25"/>
        <v>892.92929292929284</v>
      </c>
      <c r="N160" s="66">
        <f t="shared" si="26"/>
        <v>1620.2020202020203</v>
      </c>
    </row>
    <row r="161" spans="8:14" s="66" customFormat="1" ht="0.75" customHeight="1" x14ac:dyDescent="0.3">
      <c r="H161" s="66">
        <v>115</v>
      </c>
      <c r="L161" s="66">
        <f t="shared" si="24"/>
        <v>555.22388059701495</v>
      </c>
      <c r="M161" s="66">
        <f t="shared" si="25"/>
        <v>873.63184079601979</v>
      </c>
      <c r="N161" s="66">
        <f t="shared" si="26"/>
        <v>1590.0497512437812</v>
      </c>
    </row>
    <row r="162" spans="8:14" s="66" customFormat="1" ht="0.75" customHeight="1" x14ac:dyDescent="0.3">
      <c r="H162" s="66">
        <v>116</v>
      </c>
      <c r="L162" s="66">
        <f t="shared" si="24"/>
        <v>541.17647058823525</v>
      </c>
      <c r="M162" s="66">
        <f t="shared" si="25"/>
        <v>854.90196078431359</v>
      </c>
      <c r="N162" s="66">
        <f t="shared" si="26"/>
        <v>1560.7843137254904</v>
      </c>
    </row>
    <row r="163" spans="8:14" s="66" customFormat="1" ht="0.75" customHeight="1" x14ac:dyDescent="0.3">
      <c r="H163" s="66">
        <v>117</v>
      </c>
      <c r="L163" s="66">
        <f t="shared" si="24"/>
        <v>527.536231884058</v>
      </c>
      <c r="M163" s="66">
        <f t="shared" si="25"/>
        <v>836.71497584541066</v>
      </c>
      <c r="N163" s="66">
        <f t="shared" si="26"/>
        <v>1532.3671497584542</v>
      </c>
    </row>
    <row r="164" spans="8:14" s="66" customFormat="1" ht="0.75" customHeight="1" x14ac:dyDescent="0.3">
      <c r="H164" s="66">
        <v>118</v>
      </c>
      <c r="L164" s="66">
        <f t="shared" si="24"/>
        <v>514.28571428571433</v>
      </c>
      <c r="M164" s="66">
        <f t="shared" si="25"/>
        <v>819.04761904761904</v>
      </c>
      <c r="N164" s="66">
        <f t="shared" si="26"/>
        <v>1504.7619047619048</v>
      </c>
    </row>
    <row r="165" spans="8:14" s="66" customFormat="1" ht="0.75" customHeight="1" x14ac:dyDescent="0.3">
      <c r="H165" s="66">
        <v>119</v>
      </c>
      <c r="L165" s="66">
        <f t="shared" si="24"/>
        <v>501.4084507042254</v>
      </c>
      <c r="M165" s="66">
        <f t="shared" si="25"/>
        <v>801.87793427230031</v>
      </c>
      <c r="N165" s="66">
        <f t="shared" si="26"/>
        <v>1477.9342723004697</v>
      </c>
    </row>
    <row r="166" spans="8:14" s="66" customFormat="1" ht="0.75" customHeight="1" x14ac:dyDescent="0.3">
      <c r="H166" s="66">
        <v>120</v>
      </c>
      <c r="L166" s="66">
        <f t="shared" si="24"/>
        <v>488.88888888888891</v>
      </c>
      <c r="M166" s="66">
        <f t="shared" si="25"/>
        <v>785.18518518518522</v>
      </c>
      <c r="N166" s="66">
        <f t="shared" si="26"/>
        <v>1451.851851851852</v>
      </c>
    </row>
    <row r="167" spans="8:14" s="66" customFormat="1" ht="0.75" customHeight="1" x14ac:dyDescent="0.3">
      <c r="H167" s="66">
        <v>121</v>
      </c>
      <c r="L167" s="66">
        <f t="shared" si="24"/>
        <v>476.71232876712327</v>
      </c>
      <c r="M167" s="66">
        <f t="shared" si="25"/>
        <v>768.94977168949754</v>
      </c>
      <c r="N167" s="66">
        <f t="shared" si="26"/>
        <v>1426.4840182648404</v>
      </c>
    </row>
    <row r="168" spans="8:14" s="66" customFormat="1" ht="0.75" customHeight="1" x14ac:dyDescent="0.3">
      <c r="H168" s="66">
        <v>122</v>
      </c>
      <c r="L168" s="66">
        <f t="shared" si="24"/>
        <v>464.8648648648649</v>
      </c>
      <c r="M168" s="66">
        <f t="shared" si="25"/>
        <v>753.1531531531532</v>
      </c>
      <c r="N168" s="66">
        <f t="shared" si="26"/>
        <v>1401.801801801802</v>
      </c>
    </row>
    <row r="169" spans="8:14" s="66" customFormat="1" ht="0.75" customHeight="1" x14ac:dyDescent="0.3">
      <c r="H169" s="66">
        <v>123</v>
      </c>
      <c r="L169" s="66">
        <f t="shared" si="24"/>
        <v>453.33333333333337</v>
      </c>
      <c r="M169" s="66">
        <f t="shared" si="25"/>
        <v>737.7777777777776</v>
      </c>
      <c r="N169" s="66">
        <f t="shared" si="26"/>
        <v>1377.7777777777778</v>
      </c>
    </row>
    <row r="170" spans="8:14" s="66" customFormat="1" ht="0.75" customHeight="1" x14ac:dyDescent="0.3">
      <c r="H170" s="66">
        <v>124</v>
      </c>
      <c r="L170" s="66">
        <f t="shared" si="24"/>
        <v>442.10526315789468</v>
      </c>
      <c r="M170" s="66">
        <f t="shared" si="25"/>
        <v>722.8070175438595</v>
      </c>
      <c r="N170" s="66">
        <f t="shared" si="26"/>
        <v>1354.3859649122808</v>
      </c>
    </row>
    <row r="171" spans="8:14" s="66" customFormat="1" ht="0.75" customHeight="1" x14ac:dyDescent="0.3">
      <c r="H171" s="66">
        <v>125</v>
      </c>
      <c r="L171" s="66">
        <f t="shared" si="24"/>
        <v>431.16883116883116</v>
      </c>
      <c r="M171" s="66">
        <f t="shared" si="25"/>
        <v>708.22510822510822</v>
      </c>
      <c r="N171" s="66">
        <f t="shared" si="26"/>
        <v>1331.6017316017317</v>
      </c>
    </row>
    <row r="172" spans="8:14" s="66" customFormat="1" ht="0.75" customHeight="1" x14ac:dyDescent="0.3">
      <c r="H172" s="66">
        <v>126</v>
      </c>
      <c r="L172" s="66">
        <f t="shared" si="24"/>
        <v>420.51282051282055</v>
      </c>
      <c r="M172" s="66">
        <f t="shared" si="25"/>
        <v>694.017094017094</v>
      </c>
      <c r="N172" s="66">
        <f t="shared" si="26"/>
        <v>1309.4017094017095</v>
      </c>
    </row>
    <row r="173" spans="8:14" s="66" customFormat="1" ht="0.75" customHeight="1" x14ac:dyDescent="0.3">
      <c r="H173" s="66">
        <v>127</v>
      </c>
      <c r="L173" s="66">
        <f t="shared" si="24"/>
        <v>410.12658227848101</v>
      </c>
      <c r="M173" s="66">
        <f t="shared" si="25"/>
        <v>680.16877637130801</v>
      </c>
      <c r="N173" s="66">
        <f t="shared" si="26"/>
        <v>1287.7637130801688</v>
      </c>
    </row>
    <row r="174" spans="8:14" s="66" customFormat="1" ht="0.75" customHeight="1" x14ac:dyDescent="0.3">
      <c r="H174" s="66">
        <v>128</v>
      </c>
      <c r="L174" s="66">
        <f t="shared" si="24"/>
        <v>400</v>
      </c>
      <c r="M174" s="66">
        <f t="shared" si="25"/>
        <v>666.66666666666652</v>
      </c>
      <c r="N174" s="66">
        <f t="shared" si="26"/>
        <v>1266.6666666666667</v>
      </c>
    </row>
    <row r="175" spans="8:14" s="66" customFormat="1" ht="0.75" customHeight="1" x14ac:dyDescent="0.3">
      <c r="H175" s="66">
        <v>129</v>
      </c>
      <c r="L175" s="66">
        <f t="shared" si="24"/>
        <v>390.12345679012344</v>
      </c>
      <c r="M175" s="66">
        <f t="shared" ref="M175:M206" si="27">IF(F$43=1,IF($H175&gt;$L$37,M$45/($H175-$L$37)+$L$38,20000),-1000)</f>
        <v>653.49794238683126</v>
      </c>
      <c r="N175" s="66">
        <f t="shared" ref="N175:N206" si="28">B$43*IF($H175&gt;$L$37,N$45/($H175-$L$37)+$L$38,20000)</f>
        <v>1246.0905349794241</v>
      </c>
    </row>
    <row r="176" spans="8:14" s="66" customFormat="1" ht="0.75" customHeight="1" x14ac:dyDescent="0.3">
      <c r="H176" s="66">
        <v>130</v>
      </c>
      <c r="L176" s="66">
        <f t="shared" ref="L176:L226" si="29">IF(A$43=1,IF($H176&gt;$M$37,L$45/($H176-$M$37)+$M$38,20000),-10000)</f>
        <v>380.48780487804879</v>
      </c>
      <c r="M176" s="66">
        <f t="shared" si="27"/>
        <v>640.6504065040649</v>
      </c>
      <c r="N176" s="66">
        <f t="shared" si="28"/>
        <v>1226.0162601626018</v>
      </c>
    </row>
    <row r="177" spans="8:14" s="66" customFormat="1" ht="0.75" customHeight="1" x14ac:dyDescent="0.3">
      <c r="H177" s="66">
        <v>131</v>
      </c>
      <c r="L177" s="66">
        <f t="shared" si="29"/>
        <v>371.08433734939763</v>
      </c>
      <c r="M177" s="66">
        <f t="shared" si="27"/>
        <v>628.11244979919684</v>
      </c>
      <c r="N177" s="66">
        <f t="shared" si="28"/>
        <v>1206.4257028112452</v>
      </c>
    </row>
    <row r="178" spans="8:14" s="66" customFormat="1" ht="0.75" customHeight="1" x14ac:dyDescent="0.3">
      <c r="H178" s="66">
        <v>132</v>
      </c>
      <c r="L178" s="66">
        <f t="shared" si="29"/>
        <v>361.90476190476193</v>
      </c>
      <c r="M178" s="66">
        <f t="shared" si="27"/>
        <v>615.87301587301579</v>
      </c>
      <c r="N178" s="66">
        <f t="shared" si="28"/>
        <v>1187.3015873015875</v>
      </c>
    </row>
    <row r="179" spans="8:14" s="66" customFormat="1" ht="0.75" customHeight="1" x14ac:dyDescent="0.3">
      <c r="H179" s="66">
        <v>133</v>
      </c>
      <c r="L179" s="66">
        <f t="shared" si="29"/>
        <v>352.94117647058829</v>
      </c>
      <c r="M179" s="66">
        <f t="shared" si="27"/>
        <v>603.92156862745094</v>
      </c>
      <c r="N179" s="66">
        <f t="shared" si="28"/>
        <v>1168.6274509803923</v>
      </c>
    </row>
    <row r="180" spans="8:14" s="66" customFormat="1" ht="0.75" customHeight="1" x14ac:dyDescent="0.3">
      <c r="H180" s="66">
        <v>134</v>
      </c>
      <c r="L180" s="66">
        <f t="shared" si="29"/>
        <v>344.18604651162786</v>
      </c>
      <c r="M180" s="66">
        <f t="shared" si="27"/>
        <v>592.24806201550382</v>
      </c>
      <c r="N180" s="66">
        <f t="shared" si="28"/>
        <v>1150.3875968992249</v>
      </c>
    </row>
    <row r="181" spans="8:14" s="66" customFormat="1" ht="0.75" customHeight="1" x14ac:dyDescent="0.3">
      <c r="H181" s="66">
        <v>135</v>
      </c>
      <c r="L181" s="66">
        <f t="shared" si="29"/>
        <v>335.63218390804593</v>
      </c>
      <c r="M181" s="66">
        <f t="shared" si="27"/>
        <v>580.84291187739461</v>
      </c>
      <c r="N181" s="66">
        <f t="shared" si="28"/>
        <v>1132.5670498084291</v>
      </c>
    </row>
    <row r="182" spans="8:14" s="66" customFormat="1" ht="0.75" customHeight="1" x14ac:dyDescent="0.3">
      <c r="H182" s="66">
        <v>136</v>
      </c>
      <c r="L182" s="66">
        <f t="shared" si="29"/>
        <v>327.27272727272725</v>
      </c>
      <c r="M182" s="66">
        <f t="shared" si="27"/>
        <v>569.69696969696963</v>
      </c>
      <c r="N182" s="66">
        <f t="shared" si="28"/>
        <v>1115.1515151515152</v>
      </c>
    </row>
    <row r="183" spans="8:14" s="66" customFormat="1" ht="0.75" customHeight="1" x14ac:dyDescent="0.3">
      <c r="H183" s="66">
        <v>137</v>
      </c>
      <c r="L183" s="66">
        <f t="shared" si="29"/>
        <v>319.10112359550567</v>
      </c>
      <c r="M183" s="66">
        <f t="shared" si="27"/>
        <v>558.80149812734078</v>
      </c>
      <c r="N183" s="66">
        <f t="shared" si="28"/>
        <v>1098.1273408239701</v>
      </c>
    </row>
    <row r="184" spans="8:14" s="66" customFormat="1" ht="0.75" customHeight="1" x14ac:dyDescent="0.3">
      <c r="H184" s="66">
        <v>138</v>
      </c>
      <c r="L184" s="66">
        <f t="shared" si="29"/>
        <v>311.11111111111109</v>
      </c>
      <c r="M184" s="66">
        <f t="shared" si="27"/>
        <v>548.14814814814804</v>
      </c>
      <c r="N184" s="66">
        <f t="shared" si="28"/>
        <v>1081.4814814814815</v>
      </c>
    </row>
    <row r="185" spans="8:14" s="66" customFormat="1" ht="0.75" customHeight="1" x14ac:dyDescent="0.3">
      <c r="H185" s="66">
        <v>139</v>
      </c>
      <c r="L185" s="66">
        <f t="shared" si="29"/>
        <v>303.2967032967033</v>
      </c>
      <c r="M185" s="66">
        <f t="shared" si="27"/>
        <v>537.72893772893769</v>
      </c>
      <c r="N185" s="66">
        <f t="shared" si="28"/>
        <v>1065.2014652014652</v>
      </c>
    </row>
    <row r="186" spans="8:14" s="66" customFormat="1" ht="0.75" customHeight="1" x14ac:dyDescent="0.3">
      <c r="H186" s="66">
        <v>140</v>
      </c>
      <c r="L186" s="66">
        <f t="shared" si="29"/>
        <v>295.6521739130435</v>
      </c>
      <c r="M186" s="66">
        <f t="shared" si="27"/>
        <v>527.53623188405788</v>
      </c>
      <c r="N186" s="66">
        <f t="shared" si="28"/>
        <v>1049.2753623188407</v>
      </c>
    </row>
    <row r="187" spans="8:14" s="66" customFormat="1" ht="0.75" customHeight="1" x14ac:dyDescent="0.3">
      <c r="H187" s="66">
        <v>141</v>
      </c>
      <c r="L187" s="66">
        <f t="shared" si="29"/>
        <v>288.17204301075265</v>
      </c>
      <c r="M187" s="66">
        <f t="shared" si="27"/>
        <v>517.56272401433682</v>
      </c>
      <c r="N187" s="66">
        <f t="shared" si="28"/>
        <v>1033.6917562724016</v>
      </c>
    </row>
    <row r="188" spans="8:14" s="66" customFormat="1" ht="0.75" customHeight="1" x14ac:dyDescent="0.3">
      <c r="H188" s="66">
        <v>142</v>
      </c>
      <c r="L188" s="66">
        <f t="shared" si="29"/>
        <v>280.85106382978722</v>
      </c>
      <c r="M188" s="66">
        <f t="shared" si="27"/>
        <v>507.80141843971626</v>
      </c>
      <c r="N188" s="66">
        <f t="shared" si="28"/>
        <v>1018.4397163120568</v>
      </c>
    </row>
    <row r="189" spans="8:14" s="66" customFormat="1" ht="0.75" customHeight="1" x14ac:dyDescent="0.3">
      <c r="H189" s="66">
        <v>143</v>
      </c>
      <c r="L189" s="66">
        <f t="shared" si="29"/>
        <v>273.68421052631584</v>
      </c>
      <c r="M189" s="66">
        <f t="shared" si="27"/>
        <v>498.24561403508767</v>
      </c>
      <c r="N189" s="66">
        <f t="shared" si="28"/>
        <v>1003.5087719298247</v>
      </c>
    </row>
    <row r="190" spans="8:14" s="66" customFormat="1" ht="0.75" customHeight="1" x14ac:dyDescent="0.3">
      <c r="H190" s="66">
        <v>144</v>
      </c>
      <c r="L190" s="66">
        <f t="shared" si="29"/>
        <v>266.66666666666663</v>
      </c>
      <c r="M190" s="66">
        <f t="shared" si="27"/>
        <v>488.8888888888888</v>
      </c>
      <c r="N190" s="66">
        <f t="shared" si="28"/>
        <v>988.88888888888891</v>
      </c>
    </row>
    <row r="191" spans="8:14" s="66" customFormat="1" ht="0.75" customHeight="1" x14ac:dyDescent="0.3">
      <c r="H191" s="66">
        <v>145</v>
      </c>
      <c r="L191" s="66">
        <f t="shared" si="29"/>
        <v>259.79381443298973</v>
      </c>
      <c r="M191" s="66">
        <f t="shared" si="27"/>
        <v>479.72508591065287</v>
      </c>
      <c r="N191" s="66">
        <f t="shared" si="28"/>
        <v>974.57044673539531</v>
      </c>
    </row>
    <row r="192" spans="8:14" s="66" customFormat="1" ht="0.75" customHeight="1" x14ac:dyDescent="0.3">
      <c r="H192" s="66">
        <v>146</v>
      </c>
      <c r="L192" s="66">
        <f t="shared" si="29"/>
        <v>253.0612244897959</v>
      </c>
      <c r="M192" s="66">
        <f t="shared" si="27"/>
        <v>470.74829931972783</v>
      </c>
      <c r="N192" s="66">
        <f t="shared" si="28"/>
        <v>960.54421768707493</v>
      </c>
    </row>
    <row r="193" spans="8:14" s="66" customFormat="1" ht="0.75" customHeight="1" x14ac:dyDescent="0.3">
      <c r="H193" s="66">
        <v>147</v>
      </c>
      <c r="L193" s="66">
        <f t="shared" si="29"/>
        <v>246.46464646464642</v>
      </c>
      <c r="M193" s="66">
        <f t="shared" si="27"/>
        <v>461.95286195286189</v>
      </c>
      <c r="N193" s="66">
        <f t="shared" si="28"/>
        <v>946.80134680134688</v>
      </c>
    </row>
    <row r="194" spans="8:14" s="66" customFormat="1" ht="0.75" customHeight="1" x14ac:dyDescent="0.3">
      <c r="H194" s="66">
        <v>148</v>
      </c>
      <c r="L194" s="66">
        <f t="shared" si="29"/>
        <v>240</v>
      </c>
      <c r="M194" s="66">
        <f t="shared" si="27"/>
        <v>453.33333333333326</v>
      </c>
      <c r="N194" s="66">
        <f t="shared" si="28"/>
        <v>933.33333333333348</v>
      </c>
    </row>
    <row r="195" spans="8:14" s="66" customFormat="1" ht="0.75" customHeight="1" x14ac:dyDescent="0.3">
      <c r="H195" s="66">
        <v>149</v>
      </c>
      <c r="L195" s="66">
        <f t="shared" si="29"/>
        <v>233.66336633663366</v>
      </c>
      <c r="M195" s="66">
        <f t="shared" si="27"/>
        <v>444.88448844884488</v>
      </c>
      <c r="N195" s="66">
        <f t="shared" si="28"/>
        <v>920.13201320132021</v>
      </c>
    </row>
    <row r="196" spans="8:14" s="66" customFormat="1" ht="0.75" customHeight="1" x14ac:dyDescent="0.3">
      <c r="H196" s="66">
        <v>150</v>
      </c>
      <c r="L196" s="66">
        <f t="shared" si="29"/>
        <v>227.45098039215691</v>
      </c>
      <c r="M196" s="66">
        <f t="shared" si="27"/>
        <v>436.60130718954247</v>
      </c>
      <c r="N196" s="66">
        <f t="shared" si="28"/>
        <v>907.18954248366026</v>
      </c>
    </row>
    <row r="197" spans="8:14" s="66" customFormat="1" ht="0.75" customHeight="1" x14ac:dyDescent="0.3">
      <c r="H197" s="66">
        <v>151</v>
      </c>
      <c r="L197" s="66">
        <f t="shared" si="29"/>
        <v>221.35922330097083</v>
      </c>
      <c r="M197" s="66">
        <f t="shared" si="27"/>
        <v>428.47896440129443</v>
      </c>
      <c r="N197" s="66">
        <f t="shared" si="28"/>
        <v>894.49838187702267</v>
      </c>
    </row>
    <row r="198" spans="8:14" s="66" customFormat="1" ht="0.75" customHeight="1" x14ac:dyDescent="0.3">
      <c r="H198" s="66">
        <v>152</v>
      </c>
      <c r="L198" s="66">
        <f t="shared" si="29"/>
        <v>215.38461538461536</v>
      </c>
      <c r="M198" s="66">
        <f t="shared" si="27"/>
        <v>420.51282051282044</v>
      </c>
      <c r="N198" s="66">
        <f t="shared" si="28"/>
        <v>882.05128205128221</v>
      </c>
    </row>
    <row r="199" spans="8:14" s="66" customFormat="1" ht="0.75" customHeight="1" x14ac:dyDescent="0.3">
      <c r="H199" s="66">
        <v>153</v>
      </c>
      <c r="L199" s="66">
        <f t="shared" si="29"/>
        <v>209.52380952380952</v>
      </c>
      <c r="M199" s="66">
        <f t="shared" si="27"/>
        <v>412.69841269841265</v>
      </c>
      <c r="N199" s="66">
        <f t="shared" si="28"/>
        <v>869.84126984126988</v>
      </c>
    </row>
    <row r="200" spans="8:14" s="66" customFormat="1" ht="0.75" customHeight="1" x14ac:dyDescent="0.3">
      <c r="H200" s="66">
        <v>154</v>
      </c>
      <c r="L200" s="66">
        <f t="shared" si="29"/>
        <v>203.77358490566041</v>
      </c>
      <c r="M200" s="66">
        <f t="shared" si="27"/>
        <v>405.03144654088044</v>
      </c>
      <c r="N200" s="66">
        <f t="shared" si="28"/>
        <v>857.86163522012589</v>
      </c>
    </row>
    <row r="201" spans="8:14" s="66" customFormat="1" ht="0.75" customHeight="1" x14ac:dyDescent="0.3">
      <c r="H201" s="66">
        <v>155</v>
      </c>
      <c r="L201" s="66">
        <f t="shared" si="29"/>
        <v>198.13084112149534</v>
      </c>
      <c r="M201" s="66">
        <f t="shared" si="27"/>
        <v>397.50778816199374</v>
      </c>
      <c r="N201" s="66">
        <f t="shared" si="28"/>
        <v>846.10591900311533</v>
      </c>
    </row>
    <row r="202" spans="8:14" s="66" customFormat="1" ht="0.75" customHeight="1" x14ac:dyDescent="0.3">
      <c r="H202" s="66">
        <v>156</v>
      </c>
      <c r="L202" s="66">
        <f t="shared" si="29"/>
        <v>192.59259259259261</v>
      </c>
      <c r="M202" s="66">
        <f t="shared" si="27"/>
        <v>390.12345679012344</v>
      </c>
      <c r="N202" s="66">
        <f t="shared" si="28"/>
        <v>834.5679012345679</v>
      </c>
    </row>
    <row r="203" spans="8:14" s="66" customFormat="1" ht="0.75" customHeight="1" x14ac:dyDescent="0.3">
      <c r="H203" s="66">
        <v>157</v>
      </c>
      <c r="L203" s="66">
        <f t="shared" si="29"/>
        <v>187.1559633027523</v>
      </c>
      <c r="M203" s="66">
        <f t="shared" si="27"/>
        <v>382.87461773700306</v>
      </c>
      <c r="N203" s="66">
        <f t="shared" si="28"/>
        <v>823.2415902140674</v>
      </c>
    </row>
    <row r="204" spans="8:14" s="66" customFormat="1" ht="0.75" customHeight="1" x14ac:dyDescent="0.3">
      <c r="H204" s="66">
        <v>158</v>
      </c>
      <c r="L204" s="66">
        <f t="shared" si="29"/>
        <v>181.81818181818187</v>
      </c>
      <c r="M204" s="66">
        <f t="shared" si="27"/>
        <v>375.75757575757575</v>
      </c>
      <c r="N204" s="66">
        <f t="shared" si="28"/>
        <v>812.12121212121224</v>
      </c>
    </row>
    <row r="205" spans="8:14" s="66" customFormat="1" ht="0.75" customHeight="1" x14ac:dyDescent="0.3">
      <c r="H205" s="66">
        <v>159</v>
      </c>
      <c r="L205" s="66">
        <f t="shared" si="29"/>
        <v>176.5765765765766</v>
      </c>
      <c r="M205" s="66">
        <f t="shared" si="27"/>
        <v>368.76876876876872</v>
      </c>
      <c r="N205" s="66">
        <f t="shared" si="28"/>
        <v>801.20120120120123</v>
      </c>
    </row>
    <row r="206" spans="8:14" s="66" customFormat="1" ht="0.75" customHeight="1" x14ac:dyDescent="0.3">
      <c r="H206" s="66">
        <v>160</v>
      </c>
      <c r="L206" s="66">
        <f t="shared" si="29"/>
        <v>171.42857142857144</v>
      </c>
      <c r="M206" s="66">
        <f t="shared" si="27"/>
        <v>361.90476190476181</v>
      </c>
      <c r="N206" s="66">
        <f t="shared" si="28"/>
        <v>790.4761904761906</v>
      </c>
    </row>
    <row r="207" spans="8:14" s="66" customFormat="1" ht="0.75" customHeight="1" x14ac:dyDescent="0.3">
      <c r="H207" s="66">
        <v>161</v>
      </c>
      <c r="L207" s="66">
        <f t="shared" si="29"/>
        <v>166.37168141592917</v>
      </c>
      <c r="M207" s="66">
        <f t="shared" ref="M207:M226" si="30">IF(F$43=1,IF($H207&gt;$L$37,M$45/($H207-$L$37)+$L$38,20000),-1000)</f>
        <v>355.16224188790557</v>
      </c>
      <c r="N207" s="66">
        <f t="shared" ref="N207:N226" si="31">B$43*IF($H207&gt;$L$37,N$45/($H207-$L$37)+$L$38,20000)</f>
        <v>779.94100294985265</v>
      </c>
    </row>
    <row r="208" spans="8:14" s="66" customFormat="1" ht="0.75" customHeight="1" x14ac:dyDescent="0.3">
      <c r="H208" s="66">
        <v>162</v>
      </c>
      <c r="L208" s="66">
        <f t="shared" si="29"/>
        <v>161.40350877192986</v>
      </c>
      <c r="M208" s="66">
        <f t="shared" si="30"/>
        <v>348.53801169590633</v>
      </c>
      <c r="N208" s="66">
        <f t="shared" si="31"/>
        <v>769.59064327485385</v>
      </c>
    </row>
    <row r="209" spans="8:14" s="66" customFormat="1" ht="0.75" customHeight="1" x14ac:dyDescent="0.3">
      <c r="H209" s="66">
        <v>163</v>
      </c>
      <c r="L209" s="66">
        <f t="shared" si="29"/>
        <v>156.52173913043475</v>
      </c>
      <c r="M209" s="66">
        <f t="shared" si="30"/>
        <v>342.02898550724638</v>
      </c>
      <c r="N209" s="66">
        <f t="shared" si="31"/>
        <v>759.4202898550725</v>
      </c>
    </row>
    <row r="210" spans="8:14" s="66" customFormat="1" ht="0.75" customHeight="1" x14ac:dyDescent="0.3">
      <c r="H210" s="66">
        <v>164</v>
      </c>
      <c r="L210" s="66">
        <f t="shared" si="29"/>
        <v>151.72413793103453</v>
      </c>
      <c r="M210" s="66">
        <f t="shared" si="30"/>
        <v>335.63218390804593</v>
      </c>
      <c r="N210" s="66">
        <f t="shared" si="31"/>
        <v>749.42528735632186</v>
      </c>
    </row>
    <row r="211" spans="8:14" s="66" customFormat="1" ht="0.75" customHeight="1" x14ac:dyDescent="0.3">
      <c r="H211" s="66">
        <v>165</v>
      </c>
      <c r="L211" s="66">
        <f t="shared" si="29"/>
        <v>147.008547008547</v>
      </c>
      <c r="M211" s="66">
        <f t="shared" si="30"/>
        <v>329.34472934472933</v>
      </c>
      <c r="N211" s="66">
        <f t="shared" si="31"/>
        <v>739.60113960113972</v>
      </c>
    </row>
    <row r="212" spans="8:14" s="66" customFormat="1" ht="0.75" customHeight="1" x14ac:dyDescent="0.3">
      <c r="H212" s="66">
        <v>166</v>
      </c>
      <c r="L212" s="66">
        <f t="shared" si="29"/>
        <v>142.37288135593224</v>
      </c>
      <c r="M212" s="66">
        <f t="shared" si="30"/>
        <v>323.16384180790953</v>
      </c>
      <c r="N212" s="66">
        <f t="shared" si="31"/>
        <v>729.9435028248588</v>
      </c>
    </row>
    <row r="213" spans="8:14" s="66" customFormat="1" ht="0.75" customHeight="1" x14ac:dyDescent="0.3">
      <c r="H213" s="66">
        <v>167</v>
      </c>
      <c r="L213" s="66">
        <f t="shared" si="29"/>
        <v>137.81512605042019</v>
      </c>
      <c r="M213" s="66">
        <f t="shared" si="30"/>
        <v>317.08683473389351</v>
      </c>
      <c r="N213" s="66">
        <f t="shared" si="31"/>
        <v>720.4481792717088</v>
      </c>
    </row>
    <row r="214" spans="8:14" s="66" customFormat="1" ht="0.75" customHeight="1" x14ac:dyDescent="0.3">
      <c r="H214" s="66">
        <v>168</v>
      </c>
      <c r="L214" s="66">
        <f t="shared" si="29"/>
        <v>133.33333333333337</v>
      </c>
      <c r="M214" s="66">
        <f t="shared" si="30"/>
        <v>311.11111111111109</v>
      </c>
      <c r="N214" s="66">
        <f t="shared" si="31"/>
        <v>711.11111111111109</v>
      </c>
    </row>
    <row r="215" spans="8:14" s="66" customFormat="1" ht="0.75" customHeight="1" x14ac:dyDescent="0.3">
      <c r="H215" s="66">
        <v>169</v>
      </c>
      <c r="L215" s="66">
        <f t="shared" si="29"/>
        <v>128.92561983471069</v>
      </c>
      <c r="M215" s="66">
        <f t="shared" si="30"/>
        <v>305.23415977961429</v>
      </c>
      <c r="N215" s="66">
        <f t="shared" si="31"/>
        <v>701.92837465564753</v>
      </c>
    </row>
    <row r="216" spans="8:14" s="66" customFormat="1" ht="0.75" customHeight="1" x14ac:dyDescent="0.3">
      <c r="H216" s="66">
        <v>170</v>
      </c>
      <c r="L216" s="66">
        <f t="shared" si="29"/>
        <v>124.59016393442619</v>
      </c>
      <c r="M216" s="66">
        <f t="shared" si="30"/>
        <v>299.45355191256829</v>
      </c>
      <c r="N216" s="66">
        <f t="shared" si="31"/>
        <v>692.89617486338807</v>
      </c>
    </row>
    <row r="217" spans="8:14" s="66" customFormat="1" ht="0.75" customHeight="1" x14ac:dyDescent="0.3">
      <c r="H217" s="66">
        <v>171</v>
      </c>
      <c r="L217" s="66">
        <f t="shared" si="29"/>
        <v>120.32520325203257</v>
      </c>
      <c r="M217" s="66">
        <f t="shared" si="30"/>
        <v>293.7669376693766</v>
      </c>
      <c r="N217" s="66">
        <f t="shared" si="31"/>
        <v>684.01084010840123</v>
      </c>
    </row>
    <row r="218" spans="8:14" s="66" customFormat="1" ht="0.75" customHeight="1" x14ac:dyDescent="0.3">
      <c r="H218" s="66">
        <v>172</v>
      </c>
      <c r="L218" s="66">
        <f t="shared" si="29"/>
        <v>116.12903225806451</v>
      </c>
      <c r="M218" s="66">
        <f t="shared" si="30"/>
        <v>288.17204301075265</v>
      </c>
      <c r="N218" s="66">
        <f t="shared" si="31"/>
        <v>675.26881720430106</v>
      </c>
    </row>
    <row r="219" spans="8:14" s="66" customFormat="1" ht="0.75" customHeight="1" x14ac:dyDescent="0.3">
      <c r="H219" s="66">
        <v>173</v>
      </c>
      <c r="L219" s="66">
        <f t="shared" si="29"/>
        <v>112</v>
      </c>
      <c r="M219" s="66">
        <f t="shared" si="30"/>
        <v>282.66666666666663</v>
      </c>
      <c r="N219" s="66">
        <f t="shared" si="31"/>
        <v>666.66666666666674</v>
      </c>
    </row>
    <row r="220" spans="8:14" s="66" customFormat="1" ht="0.75" customHeight="1" x14ac:dyDescent="0.3">
      <c r="H220" s="66">
        <v>174</v>
      </c>
      <c r="L220" s="66">
        <f t="shared" si="29"/>
        <v>107.93650793650795</v>
      </c>
      <c r="M220" s="66">
        <f t="shared" si="30"/>
        <v>277.24867724867715</v>
      </c>
      <c r="N220" s="66">
        <f t="shared" si="31"/>
        <v>658.20105820105823</v>
      </c>
    </row>
    <row r="221" spans="8:14" s="66" customFormat="1" ht="0.75" customHeight="1" x14ac:dyDescent="0.3">
      <c r="H221" s="66">
        <v>175</v>
      </c>
      <c r="L221" s="66">
        <f t="shared" si="29"/>
        <v>103.93700787401576</v>
      </c>
      <c r="M221" s="66">
        <f t="shared" si="30"/>
        <v>271.91601049868757</v>
      </c>
      <c r="N221" s="66">
        <f t="shared" si="31"/>
        <v>649.8687664041995</v>
      </c>
    </row>
    <row r="222" spans="8:14" s="66" customFormat="1" ht="0.75" customHeight="1" x14ac:dyDescent="0.3">
      <c r="H222" s="66">
        <v>176</v>
      </c>
      <c r="L222" s="66">
        <f t="shared" si="29"/>
        <v>100</v>
      </c>
      <c r="M222" s="66">
        <f t="shared" si="30"/>
        <v>266.66666666666663</v>
      </c>
      <c r="N222" s="66">
        <f t="shared" si="31"/>
        <v>641.66666666666674</v>
      </c>
    </row>
    <row r="223" spans="8:14" s="66" customFormat="1" ht="0.75" customHeight="1" x14ac:dyDescent="0.3">
      <c r="H223" s="66">
        <v>177</v>
      </c>
      <c r="L223" s="66">
        <f t="shared" si="29"/>
        <v>96.12403100775191</v>
      </c>
      <c r="M223" s="66">
        <f t="shared" si="30"/>
        <v>261.49870801033592</v>
      </c>
      <c r="N223" s="66">
        <f t="shared" si="31"/>
        <v>633.59173126614996</v>
      </c>
    </row>
    <row r="224" spans="8:14" s="66" customFormat="1" ht="0.75" customHeight="1" x14ac:dyDescent="0.3">
      <c r="H224" s="66">
        <v>178</v>
      </c>
      <c r="L224" s="66">
        <f t="shared" si="29"/>
        <v>92.307692307692321</v>
      </c>
      <c r="M224" s="66">
        <f t="shared" si="30"/>
        <v>256.41025641025635</v>
      </c>
      <c r="N224" s="66">
        <f t="shared" si="31"/>
        <v>625.64102564102564</v>
      </c>
    </row>
    <row r="225" spans="8:14" s="66" customFormat="1" ht="0.75" customHeight="1" x14ac:dyDescent="0.3">
      <c r="H225" s="66">
        <v>179</v>
      </c>
      <c r="L225" s="66">
        <f t="shared" si="29"/>
        <v>88.549618320610705</v>
      </c>
      <c r="M225" s="66">
        <f t="shared" si="30"/>
        <v>251.39949109414749</v>
      </c>
      <c r="N225" s="66">
        <f t="shared" si="31"/>
        <v>617.81170483460562</v>
      </c>
    </row>
    <row r="226" spans="8:14" s="66" customFormat="1" ht="0.75" customHeight="1" x14ac:dyDescent="0.3">
      <c r="H226" s="66">
        <v>180</v>
      </c>
      <c r="L226" s="66">
        <f t="shared" si="29"/>
        <v>84.848484848484873</v>
      </c>
      <c r="M226" s="66">
        <f t="shared" si="30"/>
        <v>246.46464646464642</v>
      </c>
      <c r="N226" s="66">
        <f t="shared" si="31"/>
        <v>610.10101010101016</v>
      </c>
    </row>
    <row r="227" spans="8:14" s="65" customFormat="1" x14ac:dyDescent="0.3"/>
  </sheetData>
  <sheetProtection algorithmName="SHA-512" hashValue="Z6l2B/q/8gW4h9adz9vIIkI1aJZWjMUp8SIEG9H/mxj+QyGU/LMFNhZZTrvY8Chv5rUwuRVNNDvmKnmnmA7dAg==" saltValue="ihPfoKCxszWsF3TfwLXRhA==" spinCount="100000" sheet="1" objects="1" scenarios="1"/>
  <scenarios current="14" show="14">
    <scenario name="18.1" locked="1" count="27" user="Stephen Erfle" comment="Created by Stephen Erfle on 10/31/2004">
      <inputCells r="A53" val="100"/>
      <inputCells r="A54" val="300"/>
      <inputCells r="A55" val="TRUE"/>
      <inputCells r="A56" val="TRUE"/>
      <inputCells r="A57" val="TRUE"/>
      <inputCells r="A58" val="TRUE"/>
      <inputCells r="F55" val="FALSE"/>
      <inputCells r="G55" val="FALSE"/>
      <inputCells r="F56" val="FALSE"/>
      <inputCells r="G56" val="FALSE"/>
      <inputCells r="F57" val="FALSE"/>
      <inputCells r="G57" val="TRUE"/>
      <inputCells r="F58" val="FALSE"/>
      <inputCells r="G58" val="TRUE"/>
      <inputCells r="F59" val="FALSE"/>
      <inputCells r="G59" val="FALSE"/>
      <inputCells r="D55" val="FALSE"/>
      <inputCells r="D56" val="FALSE"/>
      <inputCells r="D57" val="FALSE"/>
      <inputCells r="B55" val="FALSE"/>
      <inputCells r="B56" val="FALSE"/>
      <inputCells r="B57" val="FALSE"/>
      <inputCells r="B58" val="FALSE"/>
      <inputCells r="B59" val="FALSE"/>
      <inputCells r="B60" val="FALSE"/>
      <inputCells r="D60" val="FALSE"/>
      <inputCells r="F60" val="FALSE"/>
    </scenario>
    <scenario name="18.2A" locked="1" count="27" user="Stephen Erfle" comment="Created by Stephen Erfle on 11/1/2004">
      <inputCells r="A53" val="100"/>
      <inputCells r="A54" val="3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2B" locked="1" count="27" user="Stephen Erfle" comment="Created by Stephen Erfle on 11/1/2004">
      <inputCells r="A53" val="1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3A" locked="1" count="27" user="Stephen Erfle" comment="Created by Stephen Erfle on 11/1/2004">
      <inputCells r="A53" val="700"/>
      <inputCells r="A54" val="3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3B" locked="1" count="27" user="Stephen Erfle" comment="Created by Stephen Erfle on 11/1/2004">
      <inputCells r="A53" val="7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4A" locked="1" count="27" user="Stephen Erfle" comment="Created by Stephen Erfle on 11/1/2004">
      <inputCells r="A53" val="700"/>
      <inputCells r="A54" val="3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TRU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4B" locked="1" count="27" user="Stephen Erfle" comment="Created by Stephen Erfle on 11/1/2004">
      <inputCells r="A53" val="7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TRU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5A" locked="1" count="27" user="Stephen Erfle" comment="Created by Stephen Erfle on 11/1/2004">
      <inputCells r="A53" val="1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TRUE"/>
      <inputCells r="F56" val="TRUE"/>
      <inputCells r="F57" val="TRUE"/>
      <inputCells r="F58" val="TRUE"/>
      <inputCells r="F59" val="TRUE"/>
      <inputCells r="F60" val="FALSE"/>
    </scenario>
    <scenario name="18.5B" locked="1" count="27" user="Stephen Erfle" comment="Created by Stephen Erfle on 11/1/2004">
      <inputCells r="A53" val="5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TRUE"/>
      <inputCells r="F56" val="TRUE"/>
      <inputCells r="F57" val="TRUE"/>
      <inputCells r="F58" val="TRUE"/>
      <inputCells r="F59" val="TRUE"/>
      <inputCells r="F60" val="FALSE"/>
    </scenario>
    <scenario name="18.5C" locked="1" count="27" user="Stephen Erfle" comment="Created by Stephen Erfle on 11/1/2004">
      <inputCells r="A53" val="7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TRUE"/>
      <inputCells r="F56" val="TRUE"/>
      <inputCells r="F57" val="TRUE"/>
      <inputCells r="F58" val="TRUE"/>
      <inputCells r="F59" val="TRUE"/>
      <inputCells r="F60" val="FALSE"/>
    </scenario>
    <scenario name="18.6A" locked="1" count="27" user="Stephen Erfle" comment="Created by Stephen Erfle on 11/6/2004">
      <inputCells r="A53" val="1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6B" locked="1" count="27" user="Stephen Erfle" comment="Created by Stephen Erfle on 11/6/2004">
      <inputCells r="A53" val="5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6C" locked="1" count="27" user="Stephen Erfle" comment="Created by Stephen Erfle on 11/6/2004">
      <inputCells r="A53" val="700"/>
      <inputCells r="A54" val="500"/>
      <inputCells r="A55" val="TRUE"/>
      <inputCells r="A56" val="TRUE"/>
      <inputCells r="A57" val="TRUE"/>
      <inputCells r="A58" val="TRUE"/>
      <inputCells r="G55" val="TRUE"/>
      <inputCells r="G56" val="FALS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7" locked="1" count="27" user="Stephen Erfle" comment="Created by Stephen Erfle on 11/6/2004">
      <inputCells r="A53" val="700"/>
      <inputCells r="A54" val="260"/>
      <inputCells r="A55" val="FALSE"/>
      <inputCells r="A56" val="FALSE"/>
      <inputCells r="A57" val="FALSE"/>
      <inputCells r="A58" val="FALSE"/>
      <inputCells r="G55" val="TRUE"/>
      <inputCells r="G56" val="FALSE"/>
      <inputCells r="G57" val="FALSE"/>
      <inputCells r="G58" val="TRUE"/>
      <inputCells r="G59" val="TRUE"/>
      <inputCells r="D55" val="FALSE"/>
      <inputCells r="D56" val="FALSE"/>
      <inputCells r="D57" val="FALSE"/>
      <inputCells r="B55" val="TRUE"/>
      <inputCells r="B56" val="TRUE"/>
      <inputCells r="B57" val="TRUE"/>
      <inputCells r="B58" val="TRUE"/>
      <inputCells r="B59" val="TRUE"/>
      <inputCells r="B60" val="FALSE"/>
      <inputCells r="D60" val="FALSE"/>
      <inputCells r="F55" val="FALSE"/>
      <inputCells r="F56" val="FALSE"/>
      <inputCells r="F57" val="FALSE"/>
      <inputCells r="F58" val="FALSE"/>
      <inputCells r="F59" val="FALSE"/>
      <inputCells r="F60" val="FALSE"/>
    </scenario>
    <scenario name="18.8A" locked="1" count="27" user="Stephen Erfle" comment="Created by Stephen Erfle on 11/6/2004">
      <inputCells r="A53" val="1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TRUE"/>
      <inputCells r="F56" val="TRUE"/>
      <inputCells r="F57" val="TRUE"/>
      <inputCells r="F58" val="TRUE"/>
      <inputCells r="F59" val="TRUE"/>
      <inputCells r="F60" val="TRUE"/>
    </scenario>
    <scenario name="18.8B" locked="1" count="27" user="Stephen Erfle" comment="Created by Stephen Erfle on 11/6/2004">
      <inputCells r="A53" val="5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TRUE"/>
      <inputCells r="F56" val="TRUE"/>
      <inputCells r="F57" val="TRUE"/>
      <inputCells r="F58" val="TRUE"/>
      <inputCells r="F59" val="TRUE"/>
      <inputCells r="F60" val="TRUE"/>
    </scenario>
    <scenario name="18.8C" locked="1" count="27" user="Stephen Erfle" comment="Created by Stephen Erfle on 11/6/2004">
      <inputCells r="A53" val="700"/>
      <inputCells r="A54" val="500"/>
      <inputCells r="A55" val="TRUE"/>
      <inputCells r="A56" val="TRUE"/>
      <inputCells r="A57" val="TRUE"/>
      <inputCells r="A58" val="TRUE"/>
      <inputCells r="G55" val="TRUE"/>
      <inputCells r="G56" val="TRUE"/>
      <inputCells r="G57" val="TRUE"/>
      <inputCells r="G58" val="TRUE"/>
      <inputCells r="G59" val="FALSE"/>
      <inputCells r="D55" val="TRUE"/>
      <inputCells r="D56" val="TRUE"/>
      <inputCells r="D57" val="TRUE"/>
      <inputCells r="B55" val="TRUE"/>
      <inputCells r="B56" val="TRUE"/>
      <inputCells r="B57" val="TRUE"/>
      <inputCells r="B58" val="TRUE"/>
      <inputCells r="B59" val="TRUE"/>
      <inputCells r="B60" val="TRUE"/>
      <inputCells r="D60" val="TRUE"/>
      <inputCells r="F55" val="TRUE"/>
      <inputCells r="F56" val="TRUE"/>
      <inputCells r="F57" val="TRUE"/>
      <inputCells r="F58" val="TRUE"/>
      <inputCells r="F59" val="TRUE"/>
      <inputCells r="F60" val="TRUE"/>
    </scenario>
  </scenarios>
  <mergeCells count="23">
    <mergeCell ref="A4:A5"/>
    <mergeCell ref="E24:F24"/>
    <mergeCell ref="B10:B11"/>
    <mergeCell ref="A26:G26"/>
    <mergeCell ref="H21:N21"/>
    <mergeCell ref="I23:J23"/>
    <mergeCell ref="I24:J24"/>
    <mergeCell ref="I25:J25"/>
    <mergeCell ref="I26:J26"/>
    <mergeCell ref="C24:D24"/>
    <mergeCell ref="E25:F25"/>
    <mergeCell ref="C25:D25"/>
    <mergeCell ref="M24:N24"/>
    <mergeCell ref="B12:C12"/>
    <mergeCell ref="A21:F21"/>
    <mergeCell ref="M26:N26"/>
    <mergeCell ref="C23:D23"/>
    <mergeCell ref="C22:D22"/>
    <mergeCell ref="O25:S25"/>
    <mergeCell ref="M25:N25"/>
    <mergeCell ref="E2:F2"/>
    <mergeCell ref="E22:F22"/>
    <mergeCell ref="E23:F23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croll Bar 4">
              <controlPr defaultSiz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18</xdr:col>
                    <xdr:colOff>487680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" r:id="rId5" name="Scroll Bar 2992">
              <controlPr defaultSize="0" autoPict="0">
                <anchor moveWithCells="1">
                  <from>
                    <xdr:col>15</xdr:col>
                    <xdr:colOff>121920</xdr:colOff>
                    <xdr:row>21</xdr:row>
                    <xdr:rowOff>0</xdr:rowOff>
                  </from>
                  <to>
                    <xdr:col>18</xdr:col>
                    <xdr:colOff>441960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6" name="Check Box 3384">
              <controlPr defaultSize="0" autoFill="0" autoLine="0" autoPict="0">
                <anchor moveWithCells="1">
                  <from>
                    <xdr:col>14</xdr:col>
                    <xdr:colOff>83820</xdr:colOff>
                    <xdr:row>2</xdr:row>
                    <xdr:rowOff>0</xdr:rowOff>
                  </from>
                  <to>
                    <xdr:col>14</xdr:col>
                    <xdr:colOff>388620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7" name="Check Box 3385">
              <controlPr defaultSize="0" autoFill="0" autoLine="0" autoPict="0">
                <anchor moveWithCells="1">
                  <from>
                    <xdr:col>14</xdr:col>
                    <xdr:colOff>83820</xdr:colOff>
                    <xdr:row>3</xdr:row>
                    <xdr:rowOff>0</xdr:rowOff>
                  </from>
                  <to>
                    <xdr:col>14</xdr:col>
                    <xdr:colOff>388620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8" name="Check Box 3386">
              <controlPr defaultSize="0" autoFill="0" autoLine="0" autoPict="0">
                <anchor moveWithCells="1">
                  <from>
                    <xdr:col>14</xdr:col>
                    <xdr:colOff>83820</xdr:colOff>
                    <xdr:row>4</xdr:row>
                    <xdr:rowOff>0</xdr:rowOff>
                  </from>
                  <to>
                    <xdr:col>14</xdr:col>
                    <xdr:colOff>388620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9" name="Check Box 3387">
              <controlPr defaultSize="0" autoFill="0" autoLine="0" autoPict="0">
                <anchor moveWithCells="1">
                  <from>
                    <xdr:col>14</xdr:col>
                    <xdr:colOff>83820</xdr:colOff>
                    <xdr:row>4</xdr:row>
                    <xdr:rowOff>182880</xdr:rowOff>
                  </from>
                  <to>
                    <xdr:col>14</xdr:col>
                    <xdr:colOff>388620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10" name="Check Box 3388">
              <controlPr defaultSize="0" autoFill="0" autoLine="0" autoPict="0">
                <anchor moveWithCells="1">
                  <from>
                    <xdr:col>15</xdr:col>
                    <xdr:colOff>83820</xdr:colOff>
                    <xdr:row>2</xdr:row>
                    <xdr:rowOff>0</xdr:rowOff>
                  </from>
                  <to>
                    <xdr:col>15</xdr:col>
                    <xdr:colOff>388620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11" name="Check Box 3389">
              <controlPr defaultSize="0" autoFill="0" autoLine="0" autoPict="0">
                <anchor moveWithCells="1">
                  <from>
                    <xdr:col>15</xdr:col>
                    <xdr:colOff>83820</xdr:colOff>
                    <xdr:row>3</xdr:row>
                    <xdr:rowOff>0</xdr:rowOff>
                  </from>
                  <to>
                    <xdr:col>15</xdr:col>
                    <xdr:colOff>388620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12" name="Check Box 3390">
              <controlPr defaultSize="0" autoFill="0" autoLine="0" autoPict="0">
                <anchor moveWithCells="1">
                  <from>
                    <xdr:col>15</xdr:col>
                    <xdr:colOff>83820</xdr:colOff>
                    <xdr:row>4</xdr:row>
                    <xdr:rowOff>0</xdr:rowOff>
                  </from>
                  <to>
                    <xdr:col>15</xdr:col>
                    <xdr:colOff>388620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13" name="Check Box 3391">
              <controlPr defaultSize="0" autoFill="0" autoLine="0" autoPict="0">
                <anchor moveWithCells="1">
                  <from>
                    <xdr:col>15</xdr:col>
                    <xdr:colOff>83820</xdr:colOff>
                    <xdr:row>4</xdr:row>
                    <xdr:rowOff>182880</xdr:rowOff>
                  </from>
                  <to>
                    <xdr:col>15</xdr:col>
                    <xdr:colOff>388620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14" name="Check Box 3392">
              <controlPr defaultSize="0" autoFill="0" autoLine="0" autoPict="0">
                <anchor moveWithCells="1">
                  <from>
                    <xdr:col>15</xdr:col>
                    <xdr:colOff>83820</xdr:colOff>
                    <xdr:row>6</xdr:row>
                    <xdr:rowOff>0</xdr:rowOff>
                  </from>
                  <to>
                    <xdr:col>15</xdr:col>
                    <xdr:colOff>388620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15" name="Check Box 3393">
              <controlPr defaultSize="0" autoFill="0" autoLine="0" autoPict="0">
                <anchor moveWithCells="1">
                  <from>
                    <xdr:col>17</xdr:col>
                    <xdr:colOff>83820</xdr:colOff>
                    <xdr:row>2</xdr:row>
                    <xdr:rowOff>0</xdr:rowOff>
                  </from>
                  <to>
                    <xdr:col>17</xdr:col>
                    <xdr:colOff>388620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16" name="Check Box 3394">
              <controlPr defaultSize="0" autoFill="0" autoLine="0" autoPict="0">
                <anchor moveWithCells="1">
                  <from>
                    <xdr:col>17</xdr:col>
                    <xdr:colOff>83820</xdr:colOff>
                    <xdr:row>3</xdr:row>
                    <xdr:rowOff>0</xdr:rowOff>
                  </from>
                  <to>
                    <xdr:col>17</xdr:col>
                    <xdr:colOff>388620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17" name="Check Box 3395">
              <controlPr defaultSize="0" autoFill="0" autoLine="0" autoPict="0">
                <anchor moveWithCells="1">
                  <from>
                    <xdr:col>17</xdr:col>
                    <xdr:colOff>83820</xdr:colOff>
                    <xdr:row>4</xdr:row>
                    <xdr:rowOff>0</xdr:rowOff>
                  </from>
                  <to>
                    <xdr:col>17</xdr:col>
                    <xdr:colOff>388620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18" name="Check Box 3396">
              <controlPr defaultSize="0" autoFill="0" autoLine="0" autoPict="0">
                <anchor moveWithCells="1">
                  <from>
                    <xdr:col>17</xdr:col>
                    <xdr:colOff>83820</xdr:colOff>
                    <xdr:row>5</xdr:row>
                    <xdr:rowOff>0</xdr:rowOff>
                  </from>
                  <to>
                    <xdr:col>17</xdr:col>
                    <xdr:colOff>388620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19" name="Check Box 3397">
              <controlPr defaultSize="0" autoFill="0" autoLine="0" autoPict="0">
                <anchor moveWithCells="1">
                  <from>
                    <xdr:col>17</xdr:col>
                    <xdr:colOff>83820</xdr:colOff>
                    <xdr:row>6</xdr:row>
                    <xdr:rowOff>0</xdr:rowOff>
                  </from>
                  <to>
                    <xdr:col>17</xdr:col>
                    <xdr:colOff>388620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20" name="Check Box 3398">
              <controlPr defaultSize="0" autoFill="0" autoLine="0" autoPict="0">
                <anchor moveWithCells="1">
                  <from>
                    <xdr:col>16</xdr:col>
                    <xdr:colOff>83820</xdr:colOff>
                    <xdr:row>2</xdr:row>
                    <xdr:rowOff>0</xdr:rowOff>
                  </from>
                  <to>
                    <xdr:col>16</xdr:col>
                    <xdr:colOff>388620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21" name="Check Box 3399">
              <controlPr defaultSize="0" autoFill="0" autoLine="0" autoPict="0">
                <anchor moveWithCells="1">
                  <from>
                    <xdr:col>16</xdr:col>
                    <xdr:colOff>83820</xdr:colOff>
                    <xdr:row>3</xdr:row>
                    <xdr:rowOff>0</xdr:rowOff>
                  </from>
                  <to>
                    <xdr:col>16</xdr:col>
                    <xdr:colOff>388620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22" name="Check Box 3400">
              <controlPr defaultSize="0" autoFill="0" autoLine="0" autoPict="0">
                <anchor moveWithCells="1">
                  <from>
                    <xdr:col>16</xdr:col>
                    <xdr:colOff>83820</xdr:colOff>
                    <xdr:row>4</xdr:row>
                    <xdr:rowOff>0</xdr:rowOff>
                  </from>
                  <to>
                    <xdr:col>16</xdr:col>
                    <xdr:colOff>388620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23" name="Check Box 3401">
              <controlPr defaultSize="0" autoFill="0" autoLine="0" autoPict="0">
                <anchor moveWithCells="1">
                  <from>
                    <xdr:col>14</xdr:col>
                    <xdr:colOff>335280</xdr:colOff>
                    <xdr:row>9</xdr:row>
                    <xdr:rowOff>0</xdr:rowOff>
                  </from>
                  <to>
                    <xdr:col>15</xdr:col>
                    <xdr:colOff>99060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24" name="Check Box 3402">
              <controlPr defaultSize="0" autoFill="0" autoLine="0" autoPict="0">
                <anchor moveWithCells="1">
                  <from>
                    <xdr:col>15</xdr:col>
                    <xdr:colOff>83820</xdr:colOff>
                    <xdr:row>8</xdr:row>
                    <xdr:rowOff>0</xdr:rowOff>
                  </from>
                  <to>
                    <xdr:col>15</xdr:col>
                    <xdr:colOff>388620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25" name="Check Box 3403">
              <controlPr defaultSize="0" autoFill="0" autoLine="0" autoPict="0">
                <anchor moveWithCells="1">
                  <from>
                    <xdr:col>17</xdr:col>
                    <xdr:colOff>83820</xdr:colOff>
                    <xdr:row>8</xdr:row>
                    <xdr:rowOff>0</xdr:rowOff>
                  </from>
                  <to>
                    <xdr:col>17</xdr:col>
                    <xdr:colOff>388620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26" name="Check Box 3404">
              <controlPr defaultSize="0" autoFill="0" autoLine="0" autoPict="0">
                <anchor moveWithCells="1">
                  <from>
                    <xdr:col>16</xdr:col>
                    <xdr:colOff>83820</xdr:colOff>
                    <xdr:row>8</xdr:row>
                    <xdr:rowOff>0</xdr:rowOff>
                  </from>
                  <to>
                    <xdr:col>16</xdr:col>
                    <xdr:colOff>388620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27" name="Check Box 3405">
              <controlPr defaultSize="0" autoFill="0" autoLine="0" autoPict="0">
                <anchor moveWithCells="1">
                  <from>
                    <xdr:col>14</xdr:col>
                    <xdr:colOff>335280</xdr:colOff>
                    <xdr:row>11</xdr:row>
                    <xdr:rowOff>0</xdr:rowOff>
                  </from>
                  <to>
                    <xdr:col>15</xdr:col>
                    <xdr:colOff>99060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28" name="Check Box 3406">
              <controlPr defaultSize="0" autoFill="0" autoLine="0" autoPict="0">
                <anchor moveWithCells="1">
                  <from>
                    <xdr:col>14</xdr:col>
                    <xdr:colOff>335280</xdr:colOff>
                    <xdr:row>12</xdr:row>
                    <xdr:rowOff>0</xdr:rowOff>
                  </from>
                  <to>
                    <xdr:col>15</xdr:col>
                    <xdr:colOff>99060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29" name="Check Box 3407">
              <controlPr defaultSize="0" autoFill="0" autoLine="0" autoPict="0">
                <anchor moveWithCells="1">
                  <from>
                    <xdr:col>14</xdr:col>
                    <xdr:colOff>335280</xdr:colOff>
                    <xdr:row>13</xdr:row>
                    <xdr:rowOff>0</xdr:rowOff>
                  </from>
                  <to>
                    <xdr:col>15</xdr:col>
                    <xdr:colOff>99060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30" name="Check Box 3408">
              <controlPr defaultSize="0" autoFill="0" autoLine="0" autoPict="0">
                <anchor moveWithCells="1">
                  <from>
                    <xdr:col>14</xdr:col>
                    <xdr:colOff>335280</xdr:colOff>
                    <xdr:row>10</xdr:row>
                    <xdr:rowOff>0</xdr:rowOff>
                  </from>
                  <to>
                    <xdr:col>15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Dickinson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Erfle</dc:creator>
  <cp:lastModifiedBy>Owner</cp:lastModifiedBy>
  <dcterms:created xsi:type="dcterms:W3CDTF">2003-06-05T18:57:05Z</dcterms:created>
  <dcterms:modified xsi:type="dcterms:W3CDTF">2016-02-01T22:23:18Z</dcterms:modified>
</cp:coreProperties>
</file>